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ODU\MET 440\"/>
    </mc:Choice>
  </mc:AlternateContent>
  <xr:revisionPtr revIDLastSave="0" documentId="8_{B350209C-F948-4DEC-9BD4-DD163059D16B}" xr6:coauthVersionLast="40" xr6:coauthVersionMax="40" xr10:uidLastSave="{00000000-0000-0000-0000-000000000000}"/>
  <bookViews>
    <workbookView xWindow="0" yWindow="0" windowWidth="15345" windowHeight="4410" activeTab="1" xr2:uid="{37C7B415-85AD-4CE2-A5A4-340E9833E73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3" i="2" l="1"/>
  <c r="D35" i="2"/>
  <c r="B127" i="2" l="1"/>
  <c r="B126" i="2"/>
  <c r="B125" i="2"/>
  <c r="B124" i="2"/>
  <c r="B123" i="2"/>
  <c r="B122" i="2"/>
  <c r="B121" i="2"/>
  <c r="B120" i="2"/>
  <c r="B119" i="2"/>
  <c r="B118" i="2"/>
  <c r="B117" i="2"/>
  <c r="E111" i="2"/>
  <c r="E110" i="2"/>
  <c r="E109" i="2"/>
  <c r="K60" i="2"/>
  <c r="E107" i="2"/>
  <c r="E106" i="2"/>
  <c r="E105" i="2"/>
  <c r="E104" i="2"/>
  <c r="E103" i="2"/>
  <c r="B113" i="2"/>
  <c r="B108" i="2"/>
  <c r="B106" i="2"/>
  <c r="B109" i="2"/>
  <c r="F69" i="2"/>
  <c r="J59" i="2"/>
  <c r="B105" i="2"/>
  <c r="B103" i="2"/>
  <c r="E94" i="2"/>
  <c r="E93" i="2"/>
  <c r="B97" i="2"/>
  <c r="B93" i="2"/>
  <c r="B91" i="2"/>
  <c r="B90" i="2"/>
  <c r="B89" i="2"/>
  <c r="B88" i="2"/>
  <c r="B84" i="2"/>
  <c r="B83" i="2"/>
  <c r="B62" i="2"/>
  <c r="B92" i="2" s="1"/>
  <c r="B59" i="2"/>
  <c r="B58" i="2"/>
  <c r="B52" i="2"/>
  <c r="B47" i="2"/>
  <c r="B17" i="2"/>
  <c r="J74" i="2"/>
  <c r="B53" i="2"/>
  <c r="M61" i="2"/>
  <c r="H77" i="2"/>
  <c r="I74" i="2"/>
  <c r="I73" i="2"/>
  <c r="F76" i="2"/>
  <c r="J72" i="2"/>
  <c r="J71" i="2"/>
  <c r="F67" i="2"/>
  <c r="B61" i="2"/>
  <c r="B37" i="2"/>
  <c r="B25" i="2"/>
  <c r="B24" i="2"/>
  <c r="B23" i="2"/>
  <c r="B107" i="2" l="1"/>
  <c r="F70" i="2"/>
  <c r="F71" i="2" s="1"/>
  <c r="M59" i="2"/>
  <c r="M60" i="2"/>
  <c r="F73" i="2"/>
  <c r="F75" i="2"/>
  <c r="F60" i="2"/>
  <c r="F63" i="2"/>
  <c r="F20" i="2"/>
  <c r="F21" i="2"/>
  <c r="B50" i="2"/>
  <c r="B35" i="2"/>
  <c r="B23" i="1"/>
  <c r="B63" i="2"/>
  <c r="B18" i="2"/>
  <c r="H56" i="1"/>
  <c r="H58" i="1" s="1"/>
  <c r="B54" i="1" s="1"/>
  <c r="B52" i="1"/>
  <c r="B50" i="1"/>
  <c r="B49" i="1"/>
  <c r="O50" i="1"/>
  <c r="L50" i="1"/>
  <c r="L49" i="1"/>
  <c r="L45" i="1"/>
  <c r="L48" i="1"/>
  <c r="L47" i="1"/>
  <c r="K45" i="1"/>
  <c r="J45" i="1"/>
  <c r="K44" i="1"/>
  <c r="K43" i="1"/>
  <c r="O49" i="1"/>
  <c r="O48" i="1"/>
  <c r="O47" i="1"/>
  <c r="G5" i="1"/>
  <c r="G6" i="1"/>
  <c r="H53" i="1"/>
  <c r="H52" i="1"/>
  <c r="H51" i="1"/>
  <c r="B48" i="1"/>
  <c r="B38" i="1"/>
  <c r="D34" i="1"/>
  <c r="E24" i="1"/>
  <c r="B20" i="1"/>
  <c r="F68" i="2" l="1"/>
  <c r="B54" i="2"/>
  <c r="J60" i="2" s="1"/>
  <c r="J61" i="2" s="1"/>
  <c r="J62" i="2" s="1"/>
  <c r="B60" i="2" s="1"/>
  <c r="B33" i="2"/>
  <c r="B34" i="2" s="1"/>
  <c r="B38" i="2"/>
  <c r="B74" i="2"/>
  <c r="B55" i="1"/>
  <c r="B56" i="1" s="1"/>
  <c r="B43" i="1"/>
  <c r="B45" i="1" s="1"/>
  <c r="B42" i="1"/>
  <c r="B37" i="1"/>
  <c r="B25" i="1"/>
  <c r="B19" i="1"/>
  <c r="B18" i="1"/>
  <c r="B17" i="1"/>
  <c r="J70" i="2" l="1"/>
  <c r="J75" i="2"/>
  <c r="M58" i="2"/>
  <c r="F74" i="2"/>
  <c r="J66" i="2"/>
  <c r="B27" i="1"/>
  <c r="B28" i="1" s="1"/>
  <c r="B64" i="2" l="1"/>
  <c r="B82" i="2" s="1"/>
  <c r="J67" i="2" l="1"/>
  <c r="F77" i="2"/>
  <c r="E78" i="2" s="1"/>
  <c r="M62" i="2"/>
  <c r="B65" i="2"/>
  <c r="B66" i="2" s="1"/>
  <c r="B75" i="2" s="1"/>
  <c r="B81" i="2" s="1"/>
  <c r="B85" i="2" s="1"/>
  <c r="D95" i="2" s="1"/>
  <c r="F95" i="2" l="1"/>
  <c r="B110" i="2" s="1"/>
  <c r="E95" i="2"/>
  <c r="B76" i="2"/>
  <c r="B112" i="2" l="1"/>
  <c r="B114" i="2" s="1"/>
  <c r="B104" i="2"/>
  <c r="B111" i="2" s="1"/>
  <c r="H92" i="2"/>
  <c r="H93" i="2" s="1"/>
  <c r="B94" i="2" s="1"/>
  <c r="B95" i="2" s="1"/>
  <c r="B96" i="2" s="1"/>
  <c r="B98" i="2" s="1"/>
  <c r="B99" i="2" s="1"/>
</calcChain>
</file>

<file path=xl/sharedStrings.xml><?xml version="1.0" encoding="utf-8"?>
<sst xmlns="http://schemas.openxmlformats.org/spreadsheetml/2006/main" count="392" uniqueCount="191">
  <si>
    <t>Given</t>
  </si>
  <si>
    <t>m dot</t>
  </si>
  <si>
    <t>Cp ammonia</t>
  </si>
  <si>
    <t>T ammonia 1</t>
  </si>
  <si>
    <t>T ammonia 2</t>
  </si>
  <si>
    <t>T water 1</t>
  </si>
  <si>
    <t>T water 2</t>
  </si>
  <si>
    <t>fouling factor ammonia</t>
  </si>
  <si>
    <t>fouling factor water (tube)</t>
  </si>
  <si>
    <t>foulding factor water (shell)</t>
  </si>
  <si>
    <t>Length</t>
  </si>
  <si>
    <t>velocity</t>
  </si>
  <si>
    <t>outside tube diameter</t>
  </si>
  <si>
    <t>inside tube diameter</t>
  </si>
  <si>
    <t>BTU/hr</t>
  </si>
  <si>
    <t>degF</t>
  </si>
  <si>
    <t>hr*ft^2*degF/BTU</t>
  </si>
  <si>
    <t>ft</t>
  </si>
  <si>
    <t>ft/s</t>
  </si>
  <si>
    <t>inch</t>
  </si>
  <si>
    <t>Conversions</t>
  </si>
  <si>
    <t>lb/hr</t>
  </si>
  <si>
    <t>lb/s</t>
  </si>
  <si>
    <t>Computations</t>
  </si>
  <si>
    <t>Q</t>
  </si>
  <si>
    <t>J/g*K</t>
  </si>
  <si>
    <t>BTU/lb*degF</t>
  </si>
  <si>
    <t>U guess</t>
  </si>
  <si>
    <t>A</t>
  </si>
  <si>
    <t>MLDT</t>
  </si>
  <si>
    <t>F</t>
  </si>
  <si>
    <t>ft^2</t>
  </si>
  <si>
    <t>Nt</t>
  </si>
  <si>
    <t>W/m^2 K</t>
  </si>
  <si>
    <t>=</t>
  </si>
  <si>
    <t>BTU/hr*ft^2*F</t>
  </si>
  <si>
    <t>Nt rounded</t>
  </si>
  <si>
    <t>Layout</t>
  </si>
  <si>
    <t>1 in OD tubes on 1.25 in square pitch</t>
  </si>
  <si>
    <t>Diameter of Shell</t>
  </si>
  <si>
    <t>in</t>
  </si>
  <si>
    <t>Number of Passes</t>
  </si>
  <si>
    <t>Baffle spacing</t>
  </si>
  <si>
    <t>(to fit .5Ds criteria)</t>
  </si>
  <si>
    <t>Check Premises</t>
  </si>
  <si>
    <t>rho of ammonia</t>
  </si>
  <si>
    <t>A of tubes</t>
  </si>
  <si>
    <t>lb/ft^3</t>
  </si>
  <si>
    <t>Velocity calculated</t>
  </si>
  <si>
    <t>within criteria of &lt; 10 ft/s</t>
  </si>
  <si>
    <t>Calculating U</t>
  </si>
  <si>
    <t>w</t>
  </si>
  <si>
    <t>m^2 K</t>
  </si>
  <si>
    <t>1W</t>
  </si>
  <si>
    <t>1 m^2</t>
  </si>
  <si>
    <t>1 degK</t>
  </si>
  <si>
    <t>1.8 R</t>
  </si>
  <si>
    <t>Ao</t>
  </si>
  <si>
    <t>Ai</t>
  </si>
  <si>
    <t>hi</t>
  </si>
  <si>
    <t>Rfi</t>
  </si>
  <si>
    <t>Rw</t>
  </si>
  <si>
    <t>Rfo</t>
  </si>
  <si>
    <t>ho</t>
  </si>
  <si>
    <t>U</t>
  </si>
  <si>
    <t>BTU/hr*ft^2*degF</t>
  </si>
  <si>
    <t>k of copper</t>
  </si>
  <si>
    <t>BTU/hr/ft/degF</t>
  </si>
  <si>
    <t>SHELL SIDE HEAT TRANSFER COEFFICIENT</t>
  </si>
  <si>
    <t>De</t>
  </si>
  <si>
    <t>As</t>
  </si>
  <si>
    <t>Gs</t>
  </si>
  <si>
    <t>lb/s/ft^2</t>
  </si>
  <si>
    <t>MEAN BULK TEMPERATURE</t>
  </si>
  <si>
    <t>Tb ammonia</t>
  </si>
  <si>
    <t>Tb water</t>
  </si>
  <si>
    <t>cp water</t>
  </si>
  <si>
    <t>kj/kg*degK</t>
  </si>
  <si>
    <t>dynamic viscosity</t>
  </si>
  <si>
    <t>m^2/s</t>
  </si>
  <si>
    <t>k water</t>
  </si>
  <si>
    <t>W/m*degK</t>
  </si>
  <si>
    <t>ft^2/s</t>
  </si>
  <si>
    <t>LHS</t>
  </si>
  <si>
    <t>RHS</t>
  </si>
  <si>
    <t>T</t>
  </si>
  <si>
    <t>Cp</t>
  </si>
  <si>
    <t>k</t>
  </si>
  <si>
    <t>dynamic viscosity at the wall</t>
  </si>
  <si>
    <t>1/U</t>
  </si>
  <si>
    <t>kg/hr</t>
  </si>
  <si>
    <t>degC</t>
  </si>
  <si>
    <t>m^2*degK/W</t>
  </si>
  <si>
    <t>fouling factor water (shell)</t>
  </si>
  <si>
    <t>length</t>
  </si>
  <si>
    <t>m</t>
  </si>
  <si>
    <t>m/s</t>
  </si>
  <si>
    <t>Calculations</t>
  </si>
  <si>
    <t>Guess U</t>
  </si>
  <si>
    <t>W/m^2K</t>
  </si>
  <si>
    <t>Q conversion</t>
  </si>
  <si>
    <t>W</t>
  </si>
  <si>
    <t>m^2</t>
  </si>
  <si>
    <t>Nt fixed</t>
  </si>
  <si>
    <t>Np</t>
  </si>
  <si>
    <t>Ds</t>
  </si>
  <si>
    <t>Ds converted</t>
  </si>
  <si>
    <t>Tube Layout</t>
  </si>
  <si>
    <t>Check premises</t>
  </si>
  <si>
    <t>rho ammonia</t>
  </si>
  <si>
    <t>kg/m^3</t>
  </si>
  <si>
    <t>A tubes</t>
  </si>
  <si>
    <t>m dot conversion</t>
  </si>
  <si>
    <t>kg/s</t>
  </si>
  <si>
    <t>velocity calculated</t>
  </si>
  <si>
    <t>Compute U</t>
  </si>
  <si>
    <t>m^2*K/W</t>
  </si>
  <si>
    <t>CALCULATING SHELL HEAT TRANSFER COEFFICIENT</t>
  </si>
  <si>
    <t>dynamic viscosity water</t>
  </si>
  <si>
    <t>cp ammonia</t>
  </si>
  <si>
    <t>dynamic viscosity ammonia</t>
  </si>
  <si>
    <t>k ammonia</t>
  </si>
  <si>
    <t>v calc &lt; 10 ft/s to satisfy</t>
  </si>
  <si>
    <t>pitch converted</t>
  </si>
  <si>
    <t>Compute/Compare Q</t>
  </si>
  <si>
    <t>Target Q</t>
  </si>
  <si>
    <t>Calculated Q</t>
  </si>
  <si>
    <t>Percent Diff</t>
  </si>
  <si>
    <t>m dot water</t>
  </si>
  <si>
    <t>J/hr</t>
  </si>
  <si>
    <t>kJ/kg*k</t>
  </si>
  <si>
    <t>Re</t>
  </si>
  <si>
    <t>Nu</t>
  </si>
  <si>
    <t>Pr</t>
  </si>
  <si>
    <t>Ao/Ai</t>
  </si>
  <si>
    <t>(1/hi + Rfi)</t>
  </si>
  <si>
    <t>Ao*Rw</t>
  </si>
  <si>
    <t>1/ho</t>
  </si>
  <si>
    <t>RW</t>
  </si>
  <si>
    <t>ln(r0/ri)</t>
  </si>
  <si>
    <t>2pikLNt</t>
  </si>
  <si>
    <t>.75 in tube with 1 in spacing</t>
  </si>
  <si>
    <t>max velocity</t>
  </si>
  <si>
    <t>max velocity converted</t>
  </si>
  <si>
    <t>m dot ammonia</t>
  </si>
  <si>
    <t>velocity ammonia</t>
  </si>
  <si>
    <t>dynamic viscosity wall</t>
  </si>
  <si>
    <t>Check Tw</t>
  </si>
  <si>
    <t>Tbshell</t>
  </si>
  <si>
    <t>Tw calculated</t>
  </si>
  <si>
    <t>Recompute U</t>
  </si>
  <si>
    <t>ho recalculated</t>
  </si>
  <si>
    <t>INTERPOLATION</t>
  </si>
  <si>
    <t>Recompute ho</t>
  </si>
  <si>
    <t>Check Pressure Drop</t>
  </si>
  <si>
    <t>SHELL SIDE</t>
  </si>
  <si>
    <t>Shell diameter</t>
  </si>
  <si>
    <t>Number of Baffles</t>
  </si>
  <si>
    <t>rho water</t>
  </si>
  <si>
    <t>phi shell</t>
  </si>
  <si>
    <t>TUBE SIDE</t>
  </si>
  <si>
    <t>delta P</t>
  </si>
  <si>
    <t>friction factor tube</t>
  </si>
  <si>
    <t>friction factor shell</t>
  </si>
  <si>
    <t>rho</t>
  </si>
  <si>
    <t>delta P MAX</t>
  </si>
  <si>
    <t>Pa</t>
  </si>
  <si>
    <t>delta P in psi</t>
  </si>
  <si>
    <t>psi</t>
  </si>
  <si>
    <t>Check Effectiveness</t>
  </si>
  <si>
    <t>J/kgK</t>
  </si>
  <si>
    <t>C water</t>
  </si>
  <si>
    <t>C ammonia</t>
  </si>
  <si>
    <t>Cmin</t>
  </si>
  <si>
    <t>q</t>
  </si>
  <si>
    <t>q max</t>
  </si>
  <si>
    <t>W/K</t>
  </si>
  <si>
    <t>k copper nickel alloy</t>
  </si>
  <si>
    <t>effectiveness</t>
  </si>
  <si>
    <t>NTU</t>
  </si>
  <si>
    <t>Vcalc converted ammonia</t>
  </si>
  <si>
    <t>Calculated Q converted</t>
  </si>
  <si>
    <t>Calculated Q FINAL conversion</t>
  </si>
  <si>
    <t>m dot water conversion</t>
  </si>
  <si>
    <t>rho ammonia conversion</t>
  </si>
  <si>
    <t>cp water conversion</t>
  </si>
  <si>
    <t>cp ammonia conversion</t>
  </si>
  <si>
    <t>k ammonia conversion</t>
  </si>
  <si>
    <t>k water conversion</t>
  </si>
  <si>
    <t>v water</t>
  </si>
  <si>
    <t>v water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</si>
</sst>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0" fillId="0" borderId="0" xfId="0" applyFill="1"/>
    <xf numFmtId="164" fontId="0" fillId="0" borderId="0" xfId="0" applyNumberFormat="1"/>
    <xf numFmtId="11" fontId="0" fillId="0" borderId="0" xfId="0" applyNumberForma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9801-A294-4002-A823-024D84C18AA1}">
  <dimension ref="A1:P58"/>
  <sheetViews>
    <sheetView topLeftCell="A37" workbookViewId="0">
      <selection activeCell="B52" sqref="B52"/>
    </sheetView>
  </sheetViews>
  <sheetFormatPr defaultRowHeight="15" x14ac:dyDescent="0.25"/>
  <cols>
    <col min="1" max="1" width="26.28515625" bestFit="1" customWidth="1"/>
    <col min="2" max="2" width="12" bestFit="1" customWidth="1"/>
    <col min="6" max="6" width="14.140625" customWidth="1"/>
    <col min="11" max="11" width="24" customWidth="1"/>
    <col min="12" max="12" width="12" bestFit="1" customWidth="1"/>
    <col min="15" max="15" width="12" bestFit="1" customWidth="1"/>
  </cols>
  <sheetData>
    <row r="1" spans="1:8" x14ac:dyDescent="0.25">
      <c r="A1" s="2" t="s">
        <v>0</v>
      </c>
    </row>
    <row r="2" spans="1:8" x14ac:dyDescent="0.25">
      <c r="A2" t="s">
        <v>1</v>
      </c>
      <c r="B2">
        <v>320000</v>
      </c>
      <c r="C2" t="s">
        <v>21</v>
      </c>
    </row>
    <row r="3" spans="1:8" x14ac:dyDescent="0.25">
      <c r="A3" t="s">
        <v>2</v>
      </c>
      <c r="B3">
        <v>4.9429999999999996</v>
      </c>
      <c r="C3" t="s">
        <v>25</v>
      </c>
    </row>
    <row r="4" spans="1:8" x14ac:dyDescent="0.25">
      <c r="A4" t="s">
        <v>3</v>
      </c>
      <c r="B4">
        <v>122</v>
      </c>
      <c r="C4" t="s">
        <v>15</v>
      </c>
      <c r="F4" t="s">
        <v>73</v>
      </c>
    </row>
    <row r="5" spans="1:8" x14ac:dyDescent="0.25">
      <c r="A5" t="s">
        <v>4</v>
      </c>
      <c r="B5">
        <v>86</v>
      </c>
      <c r="C5" t="s">
        <v>15</v>
      </c>
      <c r="F5" t="s">
        <v>74</v>
      </c>
      <c r="G5">
        <f>(B4+B5)/2</f>
        <v>104</v>
      </c>
      <c r="H5" t="s">
        <v>15</v>
      </c>
    </row>
    <row r="6" spans="1:8" x14ac:dyDescent="0.25">
      <c r="A6" t="s">
        <v>5</v>
      </c>
      <c r="B6">
        <v>50</v>
      </c>
      <c r="C6" t="s">
        <v>15</v>
      </c>
      <c r="F6" t="s">
        <v>75</v>
      </c>
      <c r="G6">
        <f>(B7+B6)/2</f>
        <v>61</v>
      </c>
      <c r="H6" t="s">
        <v>15</v>
      </c>
    </row>
    <row r="7" spans="1:8" x14ac:dyDescent="0.25">
      <c r="A7" t="s">
        <v>6</v>
      </c>
      <c r="B7">
        <v>72</v>
      </c>
      <c r="C7" t="s">
        <v>15</v>
      </c>
    </row>
    <row r="8" spans="1:8" x14ac:dyDescent="0.25">
      <c r="A8" t="s">
        <v>7</v>
      </c>
      <c r="B8">
        <v>1E-3</v>
      </c>
      <c r="C8" t="s">
        <v>16</v>
      </c>
    </row>
    <row r="9" spans="1:8" x14ac:dyDescent="0.25">
      <c r="A9" t="s">
        <v>8</v>
      </c>
      <c r="B9">
        <v>1E-3</v>
      </c>
      <c r="C9" t="s">
        <v>16</v>
      </c>
    </row>
    <row r="10" spans="1:8" x14ac:dyDescent="0.25">
      <c r="A10" t="s">
        <v>9</v>
      </c>
      <c r="B10">
        <v>2E-3</v>
      </c>
      <c r="C10" t="s">
        <v>16</v>
      </c>
    </row>
    <row r="11" spans="1:8" x14ac:dyDescent="0.25">
      <c r="A11" t="s">
        <v>10</v>
      </c>
      <c r="B11">
        <v>24</v>
      </c>
      <c r="C11" t="s">
        <v>17</v>
      </c>
    </row>
    <row r="12" spans="1:8" x14ac:dyDescent="0.25">
      <c r="A12" t="s">
        <v>11</v>
      </c>
      <c r="B12">
        <v>10</v>
      </c>
      <c r="C12" t="s">
        <v>18</v>
      </c>
    </row>
    <row r="13" spans="1:8" x14ac:dyDescent="0.25">
      <c r="A13" t="s">
        <v>12</v>
      </c>
      <c r="B13">
        <v>1</v>
      </c>
      <c r="C13" t="s">
        <v>19</v>
      </c>
    </row>
    <row r="14" spans="1:8" x14ac:dyDescent="0.25">
      <c r="A14" t="s">
        <v>13</v>
      </c>
      <c r="B14">
        <v>0.87</v>
      </c>
      <c r="C14" t="s">
        <v>19</v>
      </c>
    </row>
    <row r="16" spans="1:8" x14ac:dyDescent="0.25">
      <c r="A16" s="2" t="s">
        <v>20</v>
      </c>
    </row>
    <row r="17" spans="1:13" x14ac:dyDescent="0.25">
      <c r="A17" t="s">
        <v>1</v>
      </c>
      <c r="B17">
        <f>B2/60/60</f>
        <v>88.888888888888886</v>
      </c>
      <c r="C17" t="s">
        <v>22</v>
      </c>
    </row>
    <row r="18" spans="1:13" x14ac:dyDescent="0.25">
      <c r="A18" t="s">
        <v>12</v>
      </c>
      <c r="B18">
        <f>B13/12</f>
        <v>8.3333333333333329E-2</v>
      </c>
      <c r="C18" t="s">
        <v>17</v>
      </c>
    </row>
    <row r="19" spans="1:13" x14ac:dyDescent="0.25">
      <c r="A19" t="s">
        <v>13</v>
      </c>
      <c r="B19">
        <f>B14/12</f>
        <v>7.2499999999999995E-2</v>
      </c>
      <c r="C19" t="s">
        <v>17</v>
      </c>
    </row>
    <row r="20" spans="1:13" x14ac:dyDescent="0.25">
      <c r="A20" t="s">
        <v>2</v>
      </c>
      <c r="B20">
        <f>B3*1*0.947817/1000/0.00220462/1.8</f>
        <v>1.1806165212145401</v>
      </c>
      <c r="C20" t="s">
        <v>26</v>
      </c>
    </row>
    <row r="21" spans="1:13" x14ac:dyDescent="0.25">
      <c r="I21">
        <v>1760</v>
      </c>
      <c r="J21" t="s">
        <v>51</v>
      </c>
      <c r="K21" t="s">
        <v>14</v>
      </c>
      <c r="L21" t="s">
        <v>54</v>
      </c>
      <c r="M21" t="s">
        <v>55</v>
      </c>
    </row>
    <row r="22" spans="1:13" x14ac:dyDescent="0.25">
      <c r="A22" s="2" t="s">
        <v>23</v>
      </c>
      <c r="J22" t="s">
        <v>52</v>
      </c>
      <c r="K22" t="s">
        <v>53</v>
      </c>
      <c r="L22" t="s">
        <v>31</v>
      </c>
      <c r="M22" t="s">
        <v>56</v>
      </c>
    </row>
    <row r="23" spans="1:13" x14ac:dyDescent="0.25">
      <c r="A23" t="s">
        <v>24</v>
      </c>
      <c r="B23">
        <f>B2*B20*(B4-B5)</f>
        <v>13600702.324391501</v>
      </c>
      <c r="C23" t="s">
        <v>14</v>
      </c>
    </row>
    <row r="24" spans="1:13" x14ac:dyDescent="0.25">
      <c r="A24" t="s">
        <v>27</v>
      </c>
      <c r="B24">
        <v>1955</v>
      </c>
      <c r="C24" t="s">
        <v>33</v>
      </c>
      <c r="D24" t="s">
        <v>34</v>
      </c>
      <c r="E24">
        <f>B24*3.412142/10.7639/1.8</f>
        <v>344.29577930758256</v>
      </c>
      <c r="F24" t="s">
        <v>35</v>
      </c>
    </row>
    <row r="25" spans="1:13" x14ac:dyDescent="0.25">
      <c r="A25" t="s">
        <v>29</v>
      </c>
      <c r="B25">
        <f>((122-50)-(86-72))/LN((122-50)-(86-50))</f>
        <v>16.185208169986172</v>
      </c>
      <c r="C25" t="s">
        <v>15</v>
      </c>
    </row>
    <row r="26" spans="1:13" x14ac:dyDescent="0.25">
      <c r="A26" t="s">
        <v>30</v>
      </c>
      <c r="B26">
        <v>0.9</v>
      </c>
    </row>
    <row r="27" spans="1:13" x14ac:dyDescent="0.25">
      <c r="A27" t="s">
        <v>28</v>
      </c>
      <c r="B27">
        <f>B23/E24/B25/B26</f>
        <v>2711.8698183393021</v>
      </c>
      <c r="C27" t="s">
        <v>31</v>
      </c>
    </row>
    <row r="28" spans="1:13" x14ac:dyDescent="0.25">
      <c r="A28" t="s">
        <v>32</v>
      </c>
      <c r="B28">
        <f>B27/PI()/(1/12)/24</f>
        <v>431.60748661042021</v>
      </c>
    </row>
    <row r="29" spans="1:13" x14ac:dyDescent="0.25">
      <c r="A29" t="s">
        <v>36</v>
      </c>
      <c r="B29">
        <v>432</v>
      </c>
    </row>
    <row r="31" spans="1:13" x14ac:dyDescent="0.25">
      <c r="A31" s="3" t="s">
        <v>37</v>
      </c>
      <c r="B31" s="1"/>
    </row>
    <row r="32" spans="1:13" x14ac:dyDescent="0.25">
      <c r="A32" s="1" t="s">
        <v>38</v>
      </c>
      <c r="B32" s="1"/>
    </row>
    <row r="34" spans="1:16" x14ac:dyDescent="0.25">
      <c r="A34" t="s">
        <v>39</v>
      </c>
      <c r="B34">
        <v>33</v>
      </c>
      <c r="C34" t="s">
        <v>40</v>
      </c>
      <c r="D34">
        <f>B34/12</f>
        <v>2.75</v>
      </c>
      <c r="E34" t="s">
        <v>17</v>
      </c>
    </row>
    <row r="35" spans="1:16" x14ac:dyDescent="0.25">
      <c r="A35" t="s">
        <v>41</v>
      </c>
      <c r="B35">
        <v>4</v>
      </c>
    </row>
    <row r="37" spans="1:16" x14ac:dyDescent="0.25">
      <c r="A37" t="s">
        <v>42</v>
      </c>
      <c r="B37">
        <f>0.5*B34</f>
        <v>16.5</v>
      </c>
      <c r="C37" t="s">
        <v>40</v>
      </c>
      <c r="D37" t="s">
        <v>43</v>
      </c>
    </row>
    <row r="38" spans="1:16" x14ac:dyDescent="0.25">
      <c r="B38">
        <f>B37/12</f>
        <v>1.375</v>
      </c>
      <c r="C38" t="s">
        <v>17</v>
      </c>
    </row>
    <row r="40" spans="1:16" x14ac:dyDescent="0.25">
      <c r="A40" s="2" t="s">
        <v>44</v>
      </c>
    </row>
    <row r="41" spans="1:16" x14ac:dyDescent="0.25">
      <c r="A41" t="s">
        <v>11</v>
      </c>
      <c r="B41">
        <v>10</v>
      </c>
      <c r="C41" t="s">
        <v>18</v>
      </c>
    </row>
    <row r="42" spans="1:16" x14ac:dyDescent="0.25">
      <c r="A42" t="s">
        <v>45</v>
      </c>
      <c r="B42">
        <f>0.57956*0.00220462/3.53147/10^-5</f>
        <v>36.180671708948395</v>
      </c>
      <c r="C42" t="s">
        <v>47</v>
      </c>
      <c r="I42" t="s">
        <v>85</v>
      </c>
      <c r="J42" t="s">
        <v>86</v>
      </c>
      <c r="K42" t="s">
        <v>78</v>
      </c>
      <c r="L42" t="s">
        <v>87</v>
      </c>
    </row>
    <row r="43" spans="1:16" x14ac:dyDescent="0.25">
      <c r="A43" t="s">
        <v>46</v>
      </c>
      <c r="B43">
        <f>PI()*((B14/12)^2)*B29/B35</f>
        <v>1.7834036096265857</v>
      </c>
      <c r="C43" t="s">
        <v>31</v>
      </c>
      <c r="I43">
        <v>0</v>
      </c>
      <c r="J43">
        <v>4.2178000000000004</v>
      </c>
      <c r="K43">
        <f>1.788*10^-6</f>
        <v>1.7879999999999999E-6</v>
      </c>
      <c r="L43">
        <v>0.55200000000000005</v>
      </c>
    </row>
    <row r="44" spans="1:16" x14ac:dyDescent="0.25">
      <c r="I44">
        <v>20</v>
      </c>
      <c r="J44">
        <v>4.1818</v>
      </c>
      <c r="K44">
        <f>1.006*10^-6</f>
        <v>1.006E-6</v>
      </c>
      <c r="L44">
        <v>0.59699999999999998</v>
      </c>
    </row>
    <row r="45" spans="1:16" x14ac:dyDescent="0.25">
      <c r="A45" s="1" t="s">
        <v>48</v>
      </c>
      <c r="B45" s="1">
        <f>B17/B42/B43</f>
        <v>1.3775938991215702</v>
      </c>
      <c r="C45" s="1" t="s">
        <v>18</v>
      </c>
      <c r="D45" t="s">
        <v>49</v>
      </c>
      <c r="I45">
        <v>16</v>
      </c>
      <c r="J45">
        <f>(J44-J43)*(($I$45-$I$43)/($I$44-$I$43))+J43</f>
        <v>4.1890000000000001</v>
      </c>
      <c r="K45">
        <f>(K44-K43)*(($I$45-$I$43)/($I$44-$I$43))+K43</f>
        <v>1.1623999999999999E-6</v>
      </c>
      <c r="L45">
        <f>(L44-L43)*(($I$45-$I$43)/($I$44-$I$43))+L43</f>
        <v>0.58799999999999997</v>
      </c>
    </row>
    <row r="47" spans="1:16" x14ac:dyDescent="0.25">
      <c r="A47" s="2" t="s">
        <v>50</v>
      </c>
      <c r="K47" t="s">
        <v>76</v>
      </c>
      <c r="L47">
        <f>J45</f>
        <v>4.1890000000000001</v>
      </c>
      <c r="M47" t="s">
        <v>77</v>
      </c>
      <c r="O47">
        <f>L47*0.947817/2.20462</f>
        <v>1.8009477429216827</v>
      </c>
      <c r="P47" t="s">
        <v>26</v>
      </c>
    </row>
    <row r="48" spans="1:16" x14ac:dyDescent="0.25">
      <c r="A48" t="s">
        <v>57</v>
      </c>
      <c r="B48">
        <f>PI()*D34^2/4</f>
        <v>5.9395736106932029</v>
      </c>
      <c r="C48" t="s">
        <v>31</v>
      </c>
      <c r="F48" t="s">
        <v>66</v>
      </c>
      <c r="G48">
        <v>224</v>
      </c>
      <c r="H48" t="s">
        <v>67</v>
      </c>
      <c r="K48" t="s">
        <v>78</v>
      </c>
      <c r="L48">
        <f>K45</f>
        <v>1.1623999999999999E-6</v>
      </c>
      <c r="M48" t="s">
        <v>79</v>
      </c>
      <c r="O48">
        <f>L48*10.7639</f>
        <v>1.2511957359999998E-5</v>
      </c>
      <c r="P48" t="s">
        <v>82</v>
      </c>
    </row>
    <row r="49" spans="1:16" x14ac:dyDescent="0.25">
      <c r="A49" t="s">
        <v>58</v>
      </c>
      <c r="B49">
        <f>PI()*(1/12)^2/4</f>
        <v>5.4541539124822796E-3</v>
      </c>
      <c r="C49" t="s">
        <v>31</v>
      </c>
      <c r="K49" t="s">
        <v>80</v>
      </c>
      <c r="L49">
        <f>L45</f>
        <v>0.58799999999999997</v>
      </c>
      <c r="M49" t="s">
        <v>81</v>
      </c>
      <c r="O49">
        <f>L49*3.412142/3.28084/1.8</f>
        <v>0.33974014378431533</v>
      </c>
      <c r="P49" t="s">
        <v>67</v>
      </c>
    </row>
    <row r="50" spans="1:16" x14ac:dyDescent="0.25">
      <c r="A50" t="s">
        <v>59</v>
      </c>
      <c r="B50">
        <f>4.364*224/(1/12)</f>
        <v>11730.432000000001</v>
      </c>
      <c r="C50" t="s">
        <v>65</v>
      </c>
      <c r="G50" t="s">
        <v>68</v>
      </c>
      <c r="K50" t="s">
        <v>88</v>
      </c>
      <c r="L50">
        <f>1.006*10^-6</f>
        <v>1.006E-6</v>
      </c>
      <c r="O50">
        <f>L50*10.7639</f>
        <v>1.08284834E-5</v>
      </c>
      <c r="P50" t="s">
        <v>82</v>
      </c>
    </row>
    <row r="51" spans="1:16" x14ac:dyDescent="0.25">
      <c r="A51" t="s">
        <v>60</v>
      </c>
      <c r="B51">
        <v>1E-3</v>
      </c>
      <c r="C51" t="s">
        <v>16</v>
      </c>
      <c r="G51" t="s">
        <v>69</v>
      </c>
      <c r="H51">
        <f>4*((1.25/12)^2-(PI()*(1/12)^2/4))/PI()/(1/12)</f>
        <v>8.2453065720724347E-2</v>
      </c>
      <c r="I51" t="s">
        <v>17</v>
      </c>
    </row>
    <row r="52" spans="1:16" x14ac:dyDescent="0.25">
      <c r="A52" t="s">
        <v>61</v>
      </c>
      <c r="B52">
        <f>LN((33/12)/(1/12))/432/2/PI()/G48/24</f>
        <v>2.3961367306581181E-7</v>
      </c>
      <c r="C52" t="s">
        <v>16</v>
      </c>
      <c r="G52" t="s">
        <v>70</v>
      </c>
      <c r="H52">
        <f>(33/12)*((1.25/12)-(1/12))*(1.375)/(1.25/12)</f>
        <v>0.75625000000000031</v>
      </c>
      <c r="I52" t="s">
        <v>31</v>
      </c>
    </row>
    <row r="53" spans="1:16" x14ac:dyDescent="0.25">
      <c r="A53" t="s">
        <v>62</v>
      </c>
      <c r="B53">
        <v>2E-3</v>
      </c>
      <c r="C53" t="s">
        <v>16</v>
      </c>
      <c r="G53" t="s">
        <v>71</v>
      </c>
      <c r="H53">
        <f>B17/H52</f>
        <v>117.53902662993566</v>
      </c>
      <c r="I53" t="s">
        <v>72</v>
      </c>
    </row>
    <row r="54" spans="1:16" x14ac:dyDescent="0.25">
      <c r="A54" t="s">
        <v>63</v>
      </c>
      <c r="B54">
        <f>H58</f>
        <v>106.22827504726995</v>
      </c>
      <c r="C54" t="s">
        <v>65</v>
      </c>
    </row>
    <row r="55" spans="1:16" x14ac:dyDescent="0.25">
      <c r="A55" s="4" t="s">
        <v>89</v>
      </c>
      <c r="B55" s="4">
        <f>(B48/B49)*((1/B50)+B51)+(B48*B52)+B53+(1/B54)</f>
        <v>1.1932505684036909</v>
      </c>
      <c r="C55" s="4" t="s">
        <v>65</v>
      </c>
      <c r="G55" t="s">
        <v>83</v>
      </c>
      <c r="H55" t="s">
        <v>84</v>
      </c>
    </row>
    <row r="56" spans="1:16" x14ac:dyDescent="0.25">
      <c r="A56" s="1" t="s">
        <v>64</v>
      </c>
      <c r="B56" s="1">
        <f>B55^-1</f>
        <v>0.83804695047225664</v>
      </c>
      <c r="C56" s="1"/>
      <c r="H56">
        <f>0.36*((H51*H53/O48)^0.55)*((O47*O48/O49)^(1/3))*((O48/O50)^0.14)</f>
        <v>25.781018534660721</v>
      </c>
    </row>
    <row r="58" spans="1:16" x14ac:dyDescent="0.25">
      <c r="G58" t="s">
        <v>63</v>
      </c>
      <c r="H58">
        <f>H56*O49/H51</f>
        <v>106.22827504726995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67C9C-0F76-4E0F-A461-275230FFFFDF}">
  <dimension ref="A1:M162"/>
  <sheetViews>
    <sheetView tabSelected="1" topLeftCell="A22" workbookViewId="0">
      <selection activeCell="J59" sqref="J59"/>
    </sheetView>
  </sheetViews>
  <sheetFormatPr defaultRowHeight="15" x14ac:dyDescent="0.25"/>
  <cols>
    <col min="1" max="1" width="28.42578125" bestFit="1" customWidth="1"/>
    <col min="2" max="2" width="12" bestFit="1" customWidth="1"/>
    <col min="3" max="3" width="19.85546875" bestFit="1" customWidth="1"/>
    <col min="4" max="4" width="22" bestFit="1" customWidth="1"/>
    <col min="5" max="5" width="24.85546875" customWidth="1"/>
    <col min="6" max="6" width="12" bestFit="1" customWidth="1"/>
    <col min="8" max="8" width="12" bestFit="1" customWidth="1"/>
    <col min="9" max="9" width="21.140625" bestFit="1" customWidth="1"/>
    <col min="10" max="10" width="12" bestFit="1" customWidth="1"/>
    <col min="13" max="13" width="12" bestFit="1" customWidth="1"/>
  </cols>
  <sheetData>
    <row r="1" spans="1:3" x14ac:dyDescent="0.25">
      <c r="A1" s="7" t="s">
        <v>0</v>
      </c>
      <c r="B1" s="8"/>
      <c r="C1" s="9"/>
    </row>
    <row r="2" spans="1:3" x14ac:dyDescent="0.25">
      <c r="A2" s="16" t="s">
        <v>1</v>
      </c>
      <c r="B2" s="17">
        <v>320000</v>
      </c>
      <c r="C2" s="18" t="s">
        <v>21</v>
      </c>
    </row>
    <row r="3" spans="1:3" x14ac:dyDescent="0.25">
      <c r="A3" s="10" t="s">
        <v>2</v>
      </c>
      <c r="B3" s="11">
        <v>4.9989999999999997</v>
      </c>
      <c r="C3" s="12" t="s">
        <v>25</v>
      </c>
    </row>
    <row r="4" spans="1:3" x14ac:dyDescent="0.25">
      <c r="A4" s="10" t="s">
        <v>3</v>
      </c>
      <c r="B4" s="11">
        <v>122</v>
      </c>
      <c r="C4" s="12" t="s">
        <v>15</v>
      </c>
    </row>
    <row r="5" spans="1:3" x14ac:dyDescent="0.25">
      <c r="A5" s="10" t="s">
        <v>4</v>
      </c>
      <c r="B5" s="11">
        <v>86</v>
      </c>
      <c r="C5" s="12" t="s">
        <v>15</v>
      </c>
    </row>
    <row r="6" spans="1:3" x14ac:dyDescent="0.25">
      <c r="A6" s="10" t="s">
        <v>5</v>
      </c>
      <c r="B6" s="11">
        <v>50</v>
      </c>
      <c r="C6" s="12" t="s">
        <v>15</v>
      </c>
    </row>
    <row r="7" spans="1:3" x14ac:dyDescent="0.25">
      <c r="A7" s="10" t="s">
        <v>6</v>
      </c>
      <c r="B7" s="11">
        <v>72</v>
      </c>
      <c r="C7" s="12" t="s">
        <v>15</v>
      </c>
    </row>
    <row r="8" spans="1:3" x14ac:dyDescent="0.25">
      <c r="A8" s="10" t="s">
        <v>7</v>
      </c>
      <c r="B8" s="11">
        <v>1E-3</v>
      </c>
      <c r="C8" s="12" t="s">
        <v>16</v>
      </c>
    </row>
    <row r="9" spans="1:3" x14ac:dyDescent="0.25">
      <c r="A9" s="10" t="s">
        <v>8</v>
      </c>
      <c r="B9" s="11">
        <v>1E-3</v>
      </c>
      <c r="C9" s="12" t="s">
        <v>16</v>
      </c>
    </row>
    <row r="10" spans="1:3" x14ac:dyDescent="0.25">
      <c r="A10" s="10" t="s">
        <v>9</v>
      </c>
      <c r="B10" s="11">
        <v>2E-3</v>
      </c>
      <c r="C10" s="12" t="s">
        <v>16</v>
      </c>
    </row>
    <row r="11" spans="1:3" x14ac:dyDescent="0.25">
      <c r="A11" s="10" t="s">
        <v>10</v>
      </c>
      <c r="B11" s="11">
        <v>18</v>
      </c>
      <c r="C11" s="12" t="s">
        <v>17</v>
      </c>
    </row>
    <row r="12" spans="1:3" x14ac:dyDescent="0.25">
      <c r="A12" s="10" t="s">
        <v>142</v>
      </c>
      <c r="B12" s="11">
        <v>10</v>
      </c>
      <c r="C12" s="12" t="s">
        <v>18</v>
      </c>
    </row>
    <row r="13" spans="1:3" x14ac:dyDescent="0.25">
      <c r="A13" s="10" t="s">
        <v>12</v>
      </c>
      <c r="B13" s="11">
        <v>0.75</v>
      </c>
      <c r="C13" s="12" t="s">
        <v>19</v>
      </c>
    </row>
    <row r="14" spans="1:3" ht="15.75" thickBot="1" x14ac:dyDescent="0.3">
      <c r="A14" s="13" t="s">
        <v>13</v>
      </c>
      <c r="B14" s="14">
        <v>0.62</v>
      </c>
      <c r="C14" s="15" t="s">
        <v>19</v>
      </c>
    </row>
    <row r="16" spans="1:3" x14ac:dyDescent="0.25">
      <c r="A16" s="2" t="s">
        <v>20</v>
      </c>
    </row>
    <row r="17" spans="1:6" x14ac:dyDescent="0.25">
      <c r="A17" t="s">
        <v>1</v>
      </c>
      <c r="B17">
        <f>B2*0.453592</f>
        <v>145149.44</v>
      </c>
      <c r="C17" t="s">
        <v>90</v>
      </c>
    </row>
    <row r="18" spans="1:6" x14ac:dyDescent="0.25">
      <c r="A18" t="s">
        <v>2</v>
      </c>
      <c r="B18">
        <f>B3</f>
        <v>4.9989999999999997</v>
      </c>
      <c r="C18" t="s">
        <v>130</v>
      </c>
    </row>
    <row r="19" spans="1:6" x14ac:dyDescent="0.25">
      <c r="A19" t="s">
        <v>3</v>
      </c>
      <c r="B19">
        <v>50</v>
      </c>
      <c r="C19" t="s">
        <v>91</v>
      </c>
    </row>
    <row r="20" spans="1:6" x14ac:dyDescent="0.25">
      <c r="A20" t="s">
        <v>4</v>
      </c>
      <c r="B20">
        <v>30</v>
      </c>
      <c r="C20" t="s">
        <v>91</v>
      </c>
      <c r="E20" t="s">
        <v>74</v>
      </c>
      <c r="F20">
        <f>(B19+B20)/2</f>
        <v>40</v>
      </c>
    </row>
    <row r="21" spans="1:6" x14ac:dyDescent="0.25">
      <c r="A21" t="s">
        <v>5</v>
      </c>
      <c r="B21">
        <v>10</v>
      </c>
      <c r="C21" t="s">
        <v>91</v>
      </c>
      <c r="E21" t="s">
        <v>75</v>
      </c>
      <c r="F21">
        <f>(B21+B22)/2</f>
        <v>16.1111</v>
      </c>
    </row>
    <row r="22" spans="1:6" x14ac:dyDescent="0.25">
      <c r="A22" t="s">
        <v>6</v>
      </c>
      <c r="B22">
        <v>22.222200000000001</v>
      </c>
      <c r="C22" t="s">
        <v>91</v>
      </c>
    </row>
    <row r="23" spans="1:6" x14ac:dyDescent="0.25">
      <c r="A23" t="s">
        <v>7</v>
      </c>
      <c r="B23">
        <f>B8*0.092903*3.412142/1.8</f>
        <v>1.7611012679222219E-4</v>
      </c>
      <c r="C23" t="s">
        <v>92</v>
      </c>
    </row>
    <row r="24" spans="1:6" x14ac:dyDescent="0.25">
      <c r="A24" t="s">
        <v>8</v>
      </c>
      <c r="B24">
        <f>B9*0.092903*3.412142/1.8</f>
        <v>1.7611012679222219E-4</v>
      </c>
      <c r="C24" t="s">
        <v>92</v>
      </c>
    </row>
    <row r="25" spans="1:6" x14ac:dyDescent="0.25">
      <c r="A25" t="s">
        <v>93</v>
      </c>
      <c r="B25">
        <f>B10*0.092903*3.412142/1.8</f>
        <v>3.5222025358444439E-4</v>
      </c>
      <c r="C25" t="s">
        <v>92</v>
      </c>
    </row>
    <row r="26" spans="1:6" x14ac:dyDescent="0.25">
      <c r="A26" t="s">
        <v>94</v>
      </c>
      <c r="B26">
        <v>5.4863999999999997</v>
      </c>
      <c r="C26" t="s">
        <v>95</v>
      </c>
    </row>
    <row r="27" spans="1:6" x14ac:dyDescent="0.25">
      <c r="A27" t="s">
        <v>143</v>
      </c>
      <c r="B27">
        <v>3.048</v>
      </c>
      <c r="C27" t="s">
        <v>96</v>
      </c>
    </row>
    <row r="28" spans="1:6" x14ac:dyDescent="0.25">
      <c r="A28" t="s">
        <v>12</v>
      </c>
      <c r="B28">
        <v>1.9050000000000001E-2</v>
      </c>
      <c r="C28" t="s">
        <v>95</v>
      </c>
    </row>
    <row r="29" spans="1:6" x14ac:dyDescent="0.25">
      <c r="A29" t="s">
        <v>13</v>
      </c>
      <c r="B29">
        <v>1.5748000000000002E-2</v>
      </c>
      <c r="C29" t="s">
        <v>95</v>
      </c>
    </row>
    <row r="31" spans="1:6" x14ac:dyDescent="0.25">
      <c r="A31" s="2" t="s">
        <v>97</v>
      </c>
    </row>
    <row r="32" spans="1:6" x14ac:dyDescent="0.25">
      <c r="A32" t="s">
        <v>98</v>
      </c>
      <c r="B32">
        <v>1100</v>
      </c>
      <c r="C32" t="s">
        <v>99</v>
      </c>
    </row>
    <row r="33" spans="1:5" x14ac:dyDescent="0.25">
      <c r="A33" t="s">
        <v>24</v>
      </c>
      <c r="B33">
        <f>B17*B18*(B19-B20)*1000</f>
        <v>14512041011.199999</v>
      </c>
      <c r="C33" t="s">
        <v>129</v>
      </c>
    </row>
    <row r="34" spans="1:5" x14ac:dyDescent="0.25">
      <c r="A34" t="s">
        <v>100</v>
      </c>
      <c r="B34">
        <f>B33/3600</f>
        <v>4031122.503111111</v>
      </c>
      <c r="C34" t="s">
        <v>101</v>
      </c>
    </row>
    <row r="35" spans="1:5" x14ac:dyDescent="0.25">
      <c r="A35" s="1" t="s">
        <v>29</v>
      </c>
      <c r="B35" s="1">
        <f>((B19-B21)-(B20-B22))/LN((B19-B21)/(B20-B22))</f>
        <v>19.676406493894138</v>
      </c>
      <c r="C35" s="1" t="s">
        <v>91</v>
      </c>
      <c r="D35" s="1">
        <f>((B4-B6)-(B5-B7))/LN((B4-B6)/(B5-B7))</f>
        <v>35.417494321841225</v>
      </c>
      <c r="E35" s="1" t="s">
        <v>15</v>
      </c>
    </row>
    <row r="36" spans="1:5" x14ac:dyDescent="0.25">
      <c r="A36" t="s">
        <v>30</v>
      </c>
      <c r="B36">
        <v>0.9</v>
      </c>
    </row>
    <row r="37" spans="1:5" x14ac:dyDescent="0.25">
      <c r="A37" t="s">
        <v>28</v>
      </c>
      <c r="B37">
        <f>B34/B35/B32/B36</f>
        <v>206.94027202055389</v>
      </c>
      <c r="C37" t="s">
        <v>102</v>
      </c>
    </row>
    <row r="38" spans="1:5" x14ac:dyDescent="0.25">
      <c r="A38" t="s">
        <v>32</v>
      </c>
      <c r="B38">
        <f>B37/PI()/B28/B26</f>
        <v>630.24976897017405</v>
      </c>
    </row>
    <row r="39" spans="1:5" x14ac:dyDescent="0.25">
      <c r="A39" t="s">
        <v>103</v>
      </c>
      <c r="B39">
        <v>640</v>
      </c>
    </row>
    <row r="40" spans="1:5" x14ac:dyDescent="0.25">
      <c r="A40" t="s">
        <v>104</v>
      </c>
      <c r="B40">
        <v>2</v>
      </c>
    </row>
    <row r="41" spans="1:5" x14ac:dyDescent="0.25">
      <c r="A41" t="s">
        <v>105</v>
      </c>
      <c r="B41">
        <v>31</v>
      </c>
      <c r="C41" t="s">
        <v>40</v>
      </c>
    </row>
    <row r="42" spans="1:5" x14ac:dyDescent="0.25">
      <c r="A42" t="s">
        <v>106</v>
      </c>
      <c r="B42">
        <v>0.78739999999999999</v>
      </c>
      <c r="C42" t="s">
        <v>95</v>
      </c>
    </row>
    <row r="44" spans="1:5" x14ac:dyDescent="0.25">
      <c r="A44" t="s">
        <v>107</v>
      </c>
    </row>
    <row r="45" spans="1:5" x14ac:dyDescent="0.25">
      <c r="A45" t="s">
        <v>141</v>
      </c>
    </row>
    <row r="47" spans="1:5" x14ac:dyDescent="0.25">
      <c r="A47" t="s">
        <v>42</v>
      </c>
      <c r="B47">
        <f>0.5*B42</f>
        <v>0.39369999999999999</v>
      </c>
      <c r="C47" t="s">
        <v>95</v>
      </c>
    </row>
    <row r="49" spans="1:13" x14ac:dyDescent="0.25">
      <c r="A49" s="2" t="s">
        <v>108</v>
      </c>
    </row>
    <row r="50" spans="1:13" x14ac:dyDescent="0.25">
      <c r="A50" t="s">
        <v>11</v>
      </c>
      <c r="B50">
        <f>B27</f>
        <v>3.048</v>
      </c>
      <c r="C50" t="s">
        <v>96</v>
      </c>
    </row>
    <row r="51" spans="1:13" x14ac:dyDescent="0.25">
      <c r="A51" t="s">
        <v>109</v>
      </c>
      <c r="B51">
        <v>580.99</v>
      </c>
      <c r="C51" t="s">
        <v>110</v>
      </c>
      <c r="D51" s="1" t="s">
        <v>184</v>
      </c>
      <c r="E51" s="1"/>
      <c r="F51" s="1" t="s">
        <v>47</v>
      </c>
    </row>
    <row r="52" spans="1:13" x14ac:dyDescent="0.25">
      <c r="A52" t="s">
        <v>111</v>
      </c>
      <c r="B52">
        <f>PI()*B29^2*B39/B40/4</f>
        <v>6.2329073588825015E-2</v>
      </c>
      <c r="C52" t="s">
        <v>102</v>
      </c>
    </row>
    <row r="53" spans="1:13" x14ac:dyDescent="0.25">
      <c r="A53" t="s">
        <v>112</v>
      </c>
      <c r="B53">
        <f>B17/3600</f>
        <v>40.319288888888892</v>
      </c>
      <c r="C53" t="s">
        <v>113</v>
      </c>
      <c r="E53" s="1" t="s">
        <v>185</v>
      </c>
      <c r="F53" s="1"/>
      <c r="G53" s="1" t="s">
        <v>26</v>
      </c>
    </row>
    <row r="54" spans="1:13" x14ac:dyDescent="0.25">
      <c r="A54" s="4" t="s">
        <v>114</v>
      </c>
      <c r="B54" s="4">
        <f>B53/B51/B52</f>
        <v>1.1134059416016826</v>
      </c>
      <c r="C54" s="4" t="s">
        <v>96</v>
      </c>
      <c r="D54" s="4" t="s">
        <v>122</v>
      </c>
      <c r="E54" s="1" t="s">
        <v>186</v>
      </c>
      <c r="F54" s="1"/>
      <c r="G54" s="1" t="s">
        <v>26</v>
      </c>
    </row>
    <row r="55" spans="1:13" x14ac:dyDescent="0.25">
      <c r="A55" s="1" t="s">
        <v>180</v>
      </c>
      <c r="B55" s="1">
        <v>3.6529066338582998</v>
      </c>
      <c r="C55" s="1" t="s">
        <v>18</v>
      </c>
      <c r="E55" s="1" t="s">
        <v>187</v>
      </c>
      <c r="F55" s="1"/>
      <c r="G55" s="1" t="s">
        <v>67</v>
      </c>
      <c r="I55" s="1" t="s">
        <v>183</v>
      </c>
      <c r="J55" s="1"/>
      <c r="K55" s="1" t="s">
        <v>21</v>
      </c>
    </row>
    <row r="56" spans="1:13" x14ac:dyDescent="0.25">
      <c r="E56" s="1" t="s">
        <v>188</v>
      </c>
      <c r="F56" s="1"/>
      <c r="G56" s="1" t="s">
        <v>67</v>
      </c>
    </row>
    <row r="57" spans="1:13" x14ac:dyDescent="0.25">
      <c r="A57" s="2" t="s">
        <v>115</v>
      </c>
    </row>
    <row r="58" spans="1:13" x14ac:dyDescent="0.25">
      <c r="A58" t="s">
        <v>57</v>
      </c>
      <c r="B58">
        <f>PI()*B28*B26*B39</f>
        <v>210.14172573131424</v>
      </c>
      <c r="C58" t="s">
        <v>102</v>
      </c>
      <c r="E58" s="2" t="s">
        <v>117</v>
      </c>
      <c r="I58" t="s">
        <v>133</v>
      </c>
      <c r="J58">
        <v>2</v>
      </c>
      <c r="M58" s="5">
        <f>(B58/B59)*((1/B60))</f>
        <v>2.317881382083315E-4</v>
      </c>
    </row>
    <row r="59" spans="1:13" x14ac:dyDescent="0.25">
      <c r="A59" t="s">
        <v>58</v>
      </c>
      <c r="B59">
        <f>PI()*B29*B26*B39</f>
        <v>173.71715993788649</v>
      </c>
      <c r="C59" t="s">
        <v>102</v>
      </c>
      <c r="E59" t="s">
        <v>76</v>
      </c>
      <c r="F59">
        <v>4.1890000000000001</v>
      </c>
      <c r="G59" t="s">
        <v>77</v>
      </c>
      <c r="I59" t="s">
        <v>128</v>
      </c>
      <c r="J59">
        <f>B34/1000/F59/(B22-B21)</f>
        <v>78.734713192436274</v>
      </c>
      <c r="M59" s="5">
        <f>(B58/B59)*(B61)</f>
        <v>2.1303644370026872E-4</v>
      </c>
    </row>
    <row r="60" spans="1:13" x14ac:dyDescent="0.25">
      <c r="A60" t="s">
        <v>59</v>
      </c>
      <c r="B60">
        <f>J62</f>
        <v>5218.8926866808797</v>
      </c>
      <c r="C60" t="s">
        <v>99</v>
      </c>
      <c r="E60" t="s">
        <v>118</v>
      </c>
      <c r="F60">
        <f>1.1624*10^-6</f>
        <v>1.1624000000000001E-6</v>
      </c>
      <c r="G60" t="s">
        <v>79</v>
      </c>
      <c r="I60" t="s">
        <v>131</v>
      </c>
      <c r="J60">
        <f>B54*B29/F63</f>
        <v>51570.343436303818</v>
      </c>
      <c r="K60" s="6">
        <f>J60</f>
        <v>51570.343436303818</v>
      </c>
      <c r="M60" s="5">
        <f>(B58*B62)</f>
        <v>7.9873095325059938E-5</v>
      </c>
    </row>
    <row r="61" spans="1:13" x14ac:dyDescent="0.25">
      <c r="A61" t="s">
        <v>60</v>
      </c>
      <c r="B61">
        <f>B23</f>
        <v>1.7611012679222219E-4</v>
      </c>
      <c r="C61" t="s">
        <v>116</v>
      </c>
      <c r="E61" t="s">
        <v>80</v>
      </c>
      <c r="F61">
        <v>0.58799999999999997</v>
      </c>
      <c r="G61" t="s">
        <v>81</v>
      </c>
      <c r="I61" t="s">
        <v>132</v>
      </c>
      <c r="J61">
        <f>0.023*(J60^0.8)*(J58^0.3)</f>
        <v>166.70815827555882</v>
      </c>
      <c r="M61" s="5">
        <f>B63</f>
        <v>3.5222025358444439E-4</v>
      </c>
    </row>
    <row r="62" spans="1:13" x14ac:dyDescent="0.25">
      <c r="A62" t="s">
        <v>61</v>
      </c>
      <c r="B62">
        <f>LN(B28/B29)/B39/2/PI()/F66/B26</f>
        <v>3.8009155510212723E-7</v>
      </c>
      <c r="C62" t="s">
        <v>116</v>
      </c>
      <c r="E62" t="s">
        <v>119</v>
      </c>
      <c r="F62">
        <v>4.9989999999999997</v>
      </c>
      <c r="G62" t="s">
        <v>77</v>
      </c>
      <c r="I62" t="s">
        <v>59</v>
      </c>
      <c r="J62">
        <f>J61*F64/B29</f>
        <v>5218.8926866808797</v>
      </c>
      <c r="M62" s="5">
        <f>(1/B64)</f>
        <v>5.168225837471382E-5</v>
      </c>
    </row>
    <row r="63" spans="1:13" x14ac:dyDescent="0.25">
      <c r="A63" t="s">
        <v>62</v>
      </c>
      <c r="B63">
        <f>B25</f>
        <v>3.5222025358444439E-4</v>
      </c>
      <c r="C63" t="s">
        <v>116</v>
      </c>
      <c r="E63" t="s">
        <v>120</v>
      </c>
      <c r="F63">
        <f>0.34*10^-6</f>
        <v>3.4000000000000003E-7</v>
      </c>
      <c r="G63" t="s">
        <v>79</v>
      </c>
      <c r="I63" t="s">
        <v>189</v>
      </c>
      <c r="J63">
        <f>J59/B110/(PI()*B42*B26)</f>
        <v>5.7969137436607674E-3</v>
      </c>
      <c r="K63" t="s">
        <v>96</v>
      </c>
    </row>
    <row r="64" spans="1:13" x14ac:dyDescent="0.25">
      <c r="A64" t="s">
        <v>63</v>
      </c>
      <c r="B64">
        <f>J75</f>
        <v>19348.999665410563</v>
      </c>
      <c r="C64" t="s">
        <v>99</v>
      </c>
      <c r="E64" t="s">
        <v>121</v>
      </c>
      <c r="F64">
        <v>0.49299999999999999</v>
      </c>
      <c r="G64" t="s">
        <v>81</v>
      </c>
      <c r="I64" t="s">
        <v>190</v>
      </c>
    </row>
    <row r="65" spans="1:10" x14ac:dyDescent="0.25">
      <c r="A65" s="4" t="s">
        <v>89</v>
      </c>
      <c r="B65">
        <f>(B58/B59)*((1/B60)+B61)+(B58*B62)+B63+(1/B64)</f>
        <v>9.2860018919281833E-4</v>
      </c>
      <c r="C65" t="s">
        <v>116</v>
      </c>
      <c r="E65" t="s">
        <v>123</v>
      </c>
      <c r="F65">
        <v>2.5399999999999999E-2</v>
      </c>
      <c r="G65" t="s">
        <v>95</v>
      </c>
    </row>
    <row r="66" spans="1:10" x14ac:dyDescent="0.25">
      <c r="A66" s="4" t="s">
        <v>64</v>
      </c>
      <c r="B66">
        <f>B65^-1</f>
        <v>1076.8897224426</v>
      </c>
      <c r="C66" t="s">
        <v>99</v>
      </c>
      <c r="E66" t="s">
        <v>177</v>
      </c>
      <c r="F66">
        <v>22.7</v>
      </c>
      <c r="G66" t="s">
        <v>81</v>
      </c>
      <c r="J66">
        <f>1/B60</f>
        <v>1.9161152758555411E-4</v>
      </c>
    </row>
    <row r="67" spans="1:10" x14ac:dyDescent="0.25">
      <c r="E67" t="s">
        <v>69</v>
      </c>
      <c r="F67">
        <f>4*(F65^2-(PI()*B28^2/4))/PI()/B28</f>
        <v>2.4070379248364176E-2</v>
      </c>
      <c r="G67" t="s">
        <v>95</v>
      </c>
      <c r="J67">
        <f>1/B64</f>
        <v>5.168225837471382E-5</v>
      </c>
    </row>
    <row r="68" spans="1:10" x14ac:dyDescent="0.25">
      <c r="E68" t="s">
        <v>70</v>
      </c>
      <c r="F68">
        <f>B42*(F65-B28)*B47/F65</f>
        <v>7.7499844999999984E-2</v>
      </c>
      <c r="G68" t="s">
        <v>102</v>
      </c>
    </row>
    <row r="69" spans="1:10" x14ac:dyDescent="0.25">
      <c r="E69" t="s">
        <v>71</v>
      </c>
      <c r="F69">
        <f>J59/F68</f>
        <v>1015.9338149958402</v>
      </c>
    </row>
    <row r="70" spans="1:10" x14ac:dyDescent="0.25">
      <c r="E70" t="s">
        <v>84</v>
      </c>
      <c r="F70">
        <f>0.36*((F67*F69/F60)^0.55)*((F59*F60*1000/F61)^(1/3))*((F60/1.006/10^-6)^0.14)</f>
        <v>792.07102044711542</v>
      </c>
      <c r="J70">
        <f>(F67*F69/F63)^0.55</f>
        <v>20954.542701935447</v>
      </c>
    </row>
    <row r="71" spans="1:10" x14ac:dyDescent="0.25">
      <c r="E71" t="s">
        <v>63</v>
      </c>
      <c r="F71">
        <f>F70*F61/F67</f>
        <v>19348.999665410563</v>
      </c>
      <c r="J71">
        <f>(F59*F63*1000/F60)^(1/3)</f>
        <v>10.700676268138123</v>
      </c>
    </row>
    <row r="72" spans="1:10" x14ac:dyDescent="0.25">
      <c r="H72" t="s">
        <v>138</v>
      </c>
      <c r="J72">
        <f>(F63/F60)^0.14</f>
        <v>0.84189370883154502</v>
      </c>
    </row>
    <row r="73" spans="1:10" x14ac:dyDescent="0.25">
      <c r="A73" s="2" t="s">
        <v>124</v>
      </c>
      <c r="E73" t="s">
        <v>134</v>
      </c>
      <c r="F73">
        <f>B58/B59</f>
        <v>1.2096774193548383</v>
      </c>
      <c r="H73" t="s">
        <v>139</v>
      </c>
      <c r="I73">
        <f>LN((B28/2)/(B29/2))</f>
        <v>0.19035372849121893</v>
      </c>
      <c r="J73">
        <v>0.36</v>
      </c>
    </row>
    <row r="74" spans="1:10" x14ac:dyDescent="0.25">
      <c r="A74" t="s">
        <v>125</v>
      </c>
      <c r="B74">
        <f>B34</f>
        <v>4031122.503111111</v>
      </c>
      <c r="E74" t="s">
        <v>135</v>
      </c>
      <c r="F74">
        <f>(1/B60)+B61</f>
        <v>3.677216543777763E-4</v>
      </c>
      <c r="H74" t="s">
        <v>140</v>
      </c>
      <c r="I74">
        <f>2*PI()*F64*B26*B39</f>
        <v>10876.626854124717</v>
      </c>
      <c r="J74">
        <f>F61/F67</f>
        <v>24.428364585903253</v>
      </c>
    </row>
    <row r="75" spans="1:10" x14ac:dyDescent="0.25">
      <c r="A75" t="s">
        <v>126</v>
      </c>
      <c r="B75">
        <f>B66*B58*B35*B36</f>
        <v>4007484.2310453816</v>
      </c>
      <c r="C75" t="s">
        <v>101</v>
      </c>
      <c r="E75" t="s">
        <v>136</v>
      </c>
      <c r="F75">
        <f>B58*B62</f>
        <v>7.9873095325059938E-5</v>
      </c>
      <c r="I75" t="s">
        <v>63</v>
      </c>
      <c r="J75">
        <f>F71</f>
        <v>19348.999665410563</v>
      </c>
    </row>
    <row r="76" spans="1:10" x14ac:dyDescent="0.25">
      <c r="A76" t="s">
        <v>127</v>
      </c>
      <c r="B76">
        <f>(B74-B75)/B74*100</f>
        <v>0.58639428713679609</v>
      </c>
      <c r="E76" t="s">
        <v>62</v>
      </c>
      <c r="F76">
        <f>B63</f>
        <v>3.5222025358444439E-4</v>
      </c>
    </row>
    <row r="77" spans="1:10" x14ac:dyDescent="0.25">
      <c r="A77" s="4" t="s">
        <v>181</v>
      </c>
      <c r="B77" s="4">
        <v>13674103.788000001</v>
      </c>
      <c r="C77" s="4" t="s">
        <v>14</v>
      </c>
      <c r="E77" t="s">
        <v>137</v>
      </c>
      <c r="F77">
        <f>1/B64</f>
        <v>5.168225837471382E-5</v>
      </c>
      <c r="H77">
        <f>I73/I74</f>
        <v>1.7501173023972182E-5</v>
      </c>
    </row>
    <row r="78" spans="1:10" x14ac:dyDescent="0.25">
      <c r="E78">
        <f>F73*F74+F75+F76+F77</f>
        <v>9.2860018919281833E-4</v>
      </c>
    </row>
    <row r="80" spans="1:10" x14ac:dyDescent="0.25">
      <c r="A80" t="s">
        <v>147</v>
      </c>
    </row>
    <row r="81" spans="1:8" x14ac:dyDescent="0.25">
      <c r="A81" t="s">
        <v>24</v>
      </c>
      <c r="B81">
        <f>B75</f>
        <v>4007484.2310453816</v>
      </c>
    </row>
    <row r="82" spans="1:8" x14ac:dyDescent="0.25">
      <c r="A82" t="s">
        <v>63</v>
      </c>
      <c r="B82">
        <f>B64</f>
        <v>19348.999665410563</v>
      </c>
    </row>
    <row r="83" spans="1:8" x14ac:dyDescent="0.25">
      <c r="A83" t="s">
        <v>57</v>
      </c>
      <c r="B83">
        <f>B58</f>
        <v>210.14172573131424</v>
      </c>
    </row>
    <row r="84" spans="1:8" x14ac:dyDescent="0.25">
      <c r="A84" t="s">
        <v>148</v>
      </c>
      <c r="B84">
        <f>F21</f>
        <v>16.1111</v>
      </c>
      <c r="C84" t="s">
        <v>91</v>
      </c>
    </row>
    <row r="85" spans="1:8" x14ac:dyDescent="0.25">
      <c r="A85" t="s">
        <v>149</v>
      </c>
      <c r="B85">
        <f>B81/B82/B83+B84</f>
        <v>17.09670071656733</v>
      </c>
      <c r="C85" t="s">
        <v>91</v>
      </c>
    </row>
    <row r="87" spans="1:8" x14ac:dyDescent="0.25">
      <c r="A87" t="s">
        <v>150</v>
      </c>
    </row>
    <row r="88" spans="1:8" x14ac:dyDescent="0.25">
      <c r="A88" t="s">
        <v>57</v>
      </c>
      <c r="B88">
        <f t="shared" ref="B88:B93" si="0">B58</f>
        <v>210.14172573131424</v>
      </c>
    </row>
    <row r="89" spans="1:8" x14ac:dyDescent="0.25">
      <c r="A89" t="s">
        <v>58</v>
      </c>
      <c r="B89">
        <f t="shared" si="0"/>
        <v>173.71715993788649</v>
      </c>
    </row>
    <row r="90" spans="1:8" x14ac:dyDescent="0.25">
      <c r="A90" t="s">
        <v>59</v>
      </c>
      <c r="B90">
        <f t="shared" si="0"/>
        <v>5218.8926866808797</v>
      </c>
    </row>
    <row r="91" spans="1:8" x14ac:dyDescent="0.25">
      <c r="A91" t="s">
        <v>60</v>
      </c>
      <c r="B91">
        <f t="shared" si="0"/>
        <v>1.7611012679222219E-4</v>
      </c>
      <c r="D91" t="s">
        <v>152</v>
      </c>
      <c r="G91" t="s">
        <v>153</v>
      </c>
    </row>
    <row r="92" spans="1:8" x14ac:dyDescent="0.25">
      <c r="A92" t="s">
        <v>61</v>
      </c>
      <c r="B92">
        <f t="shared" si="0"/>
        <v>3.8009155510212723E-7</v>
      </c>
      <c r="D92" t="s">
        <v>85</v>
      </c>
      <c r="E92" t="s">
        <v>78</v>
      </c>
      <c r="F92" t="s">
        <v>164</v>
      </c>
      <c r="G92" t="s">
        <v>84</v>
      </c>
      <c r="H92">
        <f>0.36*((F67*F69/F60)^0.55)*((F59*F60*1000/F61)^(1/3))*((F60/E95)^0.14)</f>
        <v>780.30328562515012</v>
      </c>
    </row>
    <row r="93" spans="1:8" x14ac:dyDescent="0.25">
      <c r="A93" t="s">
        <v>62</v>
      </c>
      <c r="B93">
        <f t="shared" si="0"/>
        <v>3.5222025358444439E-4</v>
      </c>
      <c r="D93">
        <v>0</v>
      </c>
      <c r="E93">
        <f>1.788*10^-6</f>
        <v>1.7879999999999999E-6</v>
      </c>
      <c r="F93">
        <v>1002.28</v>
      </c>
      <c r="G93" t="s">
        <v>63</v>
      </c>
      <c r="H93">
        <f>H92*F61/F67</f>
        <v>19061.533148829367</v>
      </c>
    </row>
    <row r="94" spans="1:8" x14ac:dyDescent="0.25">
      <c r="A94" t="s">
        <v>151</v>
      </c>
      <c r="B94">
        <f>H93</f>
        <v>19061.533148829367</v>
      </c>
      <c r="D94">
        <v>20</v>
      </c>
      <c r="E94">
        <f>1.006*10^-6</f>
        <v>1.006E-6</v>
      </c>
      <c r="F94">
        <v>1000.52</v>
      </c>
    </row>
    <row r="95" spans="1:8" x14ac:dyDescent="0.25">
      <c r="A95" t="s">
        <v>89</v>
      </c>
      <c r="B95">
        <f>(B58/B59)*((1/B60)+B61)+(B58*B62)+B63+(1/B94)</f>
        <v>9.2937960807103908E-4</v>
      </c>
      <c r="D95">
        <f>B85</f>
        <v>17.09670071656733</v>
      </c>
      <c r="E95">
        <f>(($D$95-$D$93)/($D$94-$D$93))*(E94-E93)+E93</f>
        <v>1.1195190019822173E-6</v>
      </c>
      <c r="F95">
        <f>(($D$95-$D$93)/($D$94-$D$93))*(F94-F93)+F93</f>
        <v>1000.7754903369421</v>
      </c>
    </row>
    <row r="96" spans="1:8" x14ac:dyDescent="0.25">
      <c r="A96" t="s">
        <v>64</v>
      </c>
      <c r="B96">
        <f>B95^-1</f>
        <v>1075.9865950529472</v>
      </c>
    </row>
    <row r="97" spans="1:6" x14ac:dyDescent="0.25">
      <c r="A97" t="s">
        <v>125</v>
      </c>
      <c r="B97">
        <f>B74</f>
        <v>4031122.503111111</v>
      </c>
      <c r="C97" t="s">
        <v>101</v>
      </c>
    </row>
    <row r="98" spans="1:6" x14ac:dyDescent="0.25">
      <c r="A98" t="s">
        <v>126</v>
      </c>
      <c r="B98">
        <f>B96*B88*B35*B36</f>
        <v>4004123.3773783506</v>
      </c>
      <c r="C98" t="s">
        <v>101</v>
      </c>
    </row>
    <row r="99" spans="1:6" x14ac:dyDescent="0.25">
      <c r="A99" t="s">
        <v>127</v>
      </c>
      <c r="B99">
        <f>(B97-B98)/B97*100</f>
        <v>0.66976693742061222</v>
      </c>
    </row>
    <row r="100" spans="1:6" x14ac:dyDescent="0.25">
      <c r="A100" s="1" t="s">
        <v>182</v>
      </c>
      <c r="B100" s="1">
        <v>13662636.078</v>
      </c>
      <c r="C100" s="1" t="s">
        <v>14</v>
      </c>
    </row>
    <row r="101" spans="1:6" x14ac:dyDescent="0.25">
      <c r="A101" t="s">
        <v>154</v>
      </c>
    </row>
    <row r="102" spans="1:6" x14ac:dyDescent="0.25">
      <c r="A102" s="4" t="s">
        <v>155</v>
      </c>
      <c r="D102" t="s">
        <v>160</v>
      </c>
    </row>
    <row r="103" spans="1:6" x14ac:dyDescent="0.25">
      <c r="A103" s="4" t="s">
        <v>118</v>
      </c>
      <c r="B103">
        <f>F60</f>
        <v>1.1624000000000001E-6</v>
      </c>
      <c r="C103" t="s">
        <v>79</v>
      </c>
      <c r="D103" t="s">
        <v>94</v>
      </c>
      <c r="E103">
        <f>B26</f>
        <v>5.4863999999999997</v>
      </c>
      <c r="F103" t="s">
        <v>95</v>
      </c>
    </row>
    <row r="104" spans="1:6" x14ac:dyDescent="0.25">
      <c r="A104" s="4" t="s">
        <v>146</v>
      </c>
      <c r="B104">
        <f>E95</f>
        <v>1.1195190019822173E-6</v>
      </c>
      <c r="C104" t="s">
        <v>79</v>
      </c>
      <c r="D104" t="s">
        <v>104</v>
      </c>
      <c r="E104">
        <f>B40</f>
        <v>2</v>
      </c>
    </row>
    <row r="105" spans="1:6" x14ac:dyDescent="0.25">
      <c r="A105" s="4" t="s">
        <v>156</v>
      </c>
      <c r="B105">
        <f>B42</f>
        <v>0.78739999999999999</v>
      </c>
      <c r="C105" t="s">
        <v>95</v>
      </c>
      <c r="D105" t="s">
        <v>13</v>
      </c>
      <c r="E105">
        <f>B29</f>
        <v>1.5748000000000002E-2</v>
      </c>
      <c r="F105" t="s">
        <v>95</v>
      </c>
    </row>
    <row r="106" spans="1:6" x14ac:dyDescent="0.25">
      <c r="A106" s="4" t="s">
        <v>157</v>
      </c>
      <c r="B106">
        <f>INT(B26/B47)</f>
        <v>13</v>
      </c>
      <c r="D106" t="s">
        <v>109</v>
      </c>
      <c r="E106">
        <f>B51</f>
        <v>580.99</v>
      </c>
      <c r="F106" t="s">
        <v>110</v>
      </c>
    </row>
    <row r="107" spans="1:6" x14ac:dyDescent="0.25">
      <c r="A107" s="4" t="s">
        <v>71</v>
      </c>
      <c r="B107">
        <f>F69</f>
        <v>1015.9338149958402</v>
      </c>
      <c r="D107" t="s">
        <v>145</v>
      </c>
      <c r="E107">
        <f>B54</f>
        <v>1.1134059416016826</v>
      </c>
    </row>
    <row r="108" spans="1:6" x14ac:dyDescent="0.25">
      <c r="A108" s="4" t="s">
        <v>163</v>
      </c>
      <c r="B108">
        <f>EXP(0.576-0.19*LN(J60))</f>
        <v>0.22635892204156391</v>
      </c>
      <c r="D108" t="s">
        <v>162</v>
      </c>
      <c r="E108">
        <v>0.02</v>
      </c>
    </row>
    <row r="109" spans="1:6" x14ac:dyDescent="0.25">
      <c r="A109" s="4" t="s">
        <v>69</v>
      </c>
      <c r="B109">
        <f>F67</f>
        <v>2.4070379248364176E-2</v>
      </c>
      <c r="C109" t="s">
        <v>95</v>
      </c>
      <c r="D109" t="s">
        <v>165</v>
      </c>
      <c r="E109">
        <f>B113</f>
        <v>68911.56462585034</v>
      </c>
      <c r="F109" t="s">
        <v>166</v>
      </c>
    </row>
    <row r="110" spans="1:6" x14ac:dyDescent="0.25">
      <c r="A110" s="4" t="s">
        <v>158</v>
      </c>
      <c r="B110">
        <f>F95</f>
        <v>1000.7754903369421</v>
      </c>
      <c r="C110" t="s">
        <v>110</v>
      </c>
      <c r="D110" t="s">
        <v>161</v>
      </c>
      <c r="E110">
        <f>(4*E108*E103*E104/E105+4*E104)*(E106*E107^2/2)</f>
        <v>22954.665960860795</v>
      </c>
      <c r="F110" t="s">
        <v>166</v>
      </c>
    </row>
    <row r="111" spans="1:6" x14ac:dyDescent="0.25">
      <c r="A111" s="4" t="s">
        <v>159</v>
      </c>
      <c r="B111">
        <f>(B103/B104)^0.14</f>
        <v>1.0052761484876189</v>
      </c>
      <c r="D111" s="1" t="s">
        <v>167</v>
      </c>
      <c r="E111" s="1">
        <f>E110/101300*14.7</f>
        <v>3.331032474083452</v>
      </c>
      <c r="F111" s="1" t="s">
        <v>168</v>
      </c>
    </row>
    <row r="112" spans="1:6" x14ac:dyDescent="0.25">
      <c r="A112" s="4" t="s">
        <v>161</v>
      </c>
      <c r="B112">
        <f>B108*B105*(B106+1)*(B107^2)/2/B110/B109/B111</f>
        <v>53176.154459472753</v>
      </c>
      <c r="C112" t="s">
        <v>166</v>
      </c>
    </row>
    <row r="113" spans="1:3" x14ac:dyDescent="0.25">
      <c r="A113" s="4" t="s">
        <v>165</v>
      </c>
      <c r="B113">
        <f>10*101300/14.7</f>
        <v>68911.56462585034</v>
      </c>
      <c r="C113" t="s">
        <v>166</v>
      </c>
    </row>
    <row r="114" spans="1:3" x14ac:dyDescent="0.25">
      <c r="A114" s="1" t="s">
        <v>167</v>
      </c>
      <c r="B114" s="1">
        <f>B112/101300*14.7</f>
        <v>7.7165791762512281</v>
      </c>
      <c r="C114" s="1" t="s">
        <v>168</v>
      </c>
    </row>
    <row r="116" spans="1:3" x14ac:dyDescent="0.25">
      <c r="A116" t="s">
        <v>169</v>
      </c>
    </row>
    <row r="117" spans="1:3" x14ac:dyDescent="0.25">
      <c r="A117" t="s">
        <v>128</v>
      </c>
      <c r="B117">
        <f>J59</f>
        <v>78.734713192436274</v>
      </c>
      <c r="C117" t="s">
        <v>113</v>
      </c>
    </row>
    <row r="118" spans="1:3" x14ac:dyDescent="0.25">
      <c r="A118" t="s">
        <v>144</v>
      </c>
      <c r="B118">
        <f>B53</f>
        <v>40.319288888888892</v>
      </c>
      <c r="C118" t="s">
        <v>113</v>
      </c>
    </row>
    <row r="119" spans="1:3" x14ac:dyDescent="0.25">
      <c r="A119" t="s">
        <v>119</v>
      </c>
      <c r="B119">
        <f>B18*1000</f>
        <v>4999</v>
      </c>
      <c r="C119" t="s">
        <v>170</v>
      </c>
    </row>
    <row r="120" spans="1:3" x14ac:dyDescent="0.25">
      <c r="A120" t="s">
        <v>76</v>
      </c>
      <c r="B120">
        <f>F59*1000</f>
        <v>4189</v>
      </c>
      <c r="C120" t="s">
        <v>170</v>
      </c>
    </row>
    <row r="121" spans="1:3" x14ac:dyDescent="0.25">
      <c r="A121" t="s">
        <v>171</v>
      </c>
      <c r="B121">
        <f>B117*B120</f>
        <v>329819.71356311557</v>
      </c>
      <c r="C121" t="s">
        <v>176</v>
      </c>
    </row>
    <row r="122" spans="1:3" x14ac:dyDescent="0.25">
      <c r="A122" t="s">
        <v>172</v>
      </c>
      <c r="B122">
        <f>B118*B119</f>
        <v>201556.12515555558</v>
      </c>
      <c r="C122" t="s">
        <v>176</v>
      </c>
    </row>
    <row r="123" spans="1:3" x14ac:dyDescent="0.25">
      <c r="A123" t="s">
        <v>173</v>
      </c>
      <c r="B123">
        <f>B122</f>
        <v>201556.12515555558</v>
      </c>
      <c r="C123" t="s">
        <v>176</v>
      </c>
    </row>
    <row r="124" spans="1:3" x14ac:dyDescent="0.25">
      <c r="A124" t="s">
        <v>174</v>
      </c>
      <c r="B124">
        <f>B97</f>
        <v>4031122.503111111</v>
      </c>
      <c r="C124" t="s">
        <v>101</v>
      </c>
    </row>
    <row r="125" spans="1:3" x14ac:dyDescent="0.25">
      <c r="A125" t="s">
        <v>175</v>
      </c>
      <c r="B125">
        <f>B123*(B19-B21)</f>
        <v>8062245.0062222229</v>
      </c>
      <c r="C125" t="s">
        <v>101</v>
      </c>
    </row>
    <row r="126" spans="1:3" x14ac:dyDescent="0.25">
      <c r="A126" s="1" t="s">
        <v>178</v>
      </c>
      <c r="B126" s="1">
        <f>B124/B125</f>
        <v>0.49999999999999994</v>
      </c>
    </row>
    <row r="127" spans="1:3" x14ac:dyDescent="0.25">
      <c r="A127" s="1" t="s">
        <v>179</v>
      </c>
      <c r="B127" s="1">
        <f>B96*B88/B123</f>
        <v>1.1218199386085725</v>
      </c>
    </row>
    <row r="131" spans="1:1" x14ac:dyDescent="0.25">
      <c r="A131" s="4"/>
    </row>
    <row r="132" spans="1:1" x14ac:dyDescent="0.25">
      <c r="A132" s="4"/>
    </row>
    <row r="161" spans="1:1" x14ac:dyDescent="0.25">
      <c r="A161" s="4"/>
    </row>
    <row r="162" spans="1:1" x14ac:dyDescent="0.25">
      <c r="A16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Hoke</dc:creator>
  <cp:lastModifiedBy>Robert Hoke</cp:lastModifiedBy>
  <dcterms:created xsi:type="dcterms:W3CDTF">2018-12-05T19:28:11Z</dcterms:created>
  <dcterms:modified xsi:type="dcterms:W3CDTF">2018-12-13T02:17:03Z</dcterms:modified>
</cp:coreProperties>
</file>