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\Desktop\College\Homework\Fall 2023\MET330\Test1\"/>
    </mc:Choice>
  </mc:AlternateContent>
  <xr:revisionPtr revIDLastSave="0" documentId="13_ncr:1_{3105F5FD-6345-44D9-98C2-75BC048BF98C}" xr6:coauthVersionLast="47" xr6:coauthVersionMax="47" xr10:uidLastSave="{00000000-0000-0000-0000-000000000000}"/>
  <bookViews>
    <workbookView xWindow="-120" yWindow="-120" windowWidth="38640" windowHeight="21240" xr2:uid="{4E63EF56-EFCC-4995-AE11-B539E32921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31" i="1"/>
  <c r="K32" i="1"/>
  <c r="K33" i="1"/>
  <c r="K34" i="1"/>
  <c r="K29" i="1"/>
  <c r="G22" i="1"/>
  <c r="H14" i="1" s="1"/>
  <c r="J9" i="1"/>
  <c r="K9" i="1" s="1"/>
  <c r="G14" i="1" s="1"/>
  <c r="F22" i="1"/>
  <c r="F14" i="1" l="1"/>
  <c r="H22" i="1" s="1"/>
  <c r="D29" i="1" l="1"/>
  <c r="C29" i="1"/>
  <c r="B29" i="1" s="1"/>
  <c r="G29" i="1"/>
  <c r="L30" i="1"/>
  <c r="M30" i="1" s="1"/>
  <c r="L33" i="1"/>
  <c r="M33" i="1" s="1"/>
  <c r="L34" i="1"/>
  <c r="M34" i="1" s="1"/>
  <c r="L29" i="1"/>
  <c r="M29" i="1" s="1"/>
  <c r="L31" i="1"/>
  <c r="M31" i="1" s="1"/>
  <c r="L32" i="1"/>
  <c r="M32" i="1" s="1"/>
  <c r="E29" i="1" l="1"/>
  <c r="F29" i="1" l="1"/>
  <c r="J30" i="1"/>
  <c r="J31" i="1"/>
  <c r="J32" i="1"/>
  <c r="J33" i="1"/>
  <c r="J34" i="1"/>
  <c r="J29" i="1"/>
</calcChain>
</file>

<file path=xl/sharedStrings.xml><?xml version="1.0" encoding="utf-8"?>
<sst xmlns="http://schemas.openxmlformats.org/spreadsheetml/2006/main" count="106" uniqueCount="80">
  <si>
    <t>Pipe size</t>
  </si>
  <si>
    <t>Motor Efficiency</t>
  </si>
  <si>
    <t>Velocity (ft/s)</t>
  </si>
  <si>
    <t>Pipe Length succ</t>
  </si>
  <si>
    <t>ft</t>
  </si>
  <si>
    <t>ft/s</t>
  </si>
  <si>
    <t>ft^2</t>
  </si>
  <si>
    <t>in</t>
  </si>
  <si>
    <t>Pipe Length disc</t>
  </si>
  <si>
    <t>ft^3/s</t>
  </si>
  <si>
    <t>Q</t>
  </si>
  <si>
    <t>n</t>
  </si>
  <si>
    <t>Ldischarge</t>
  </si>
  <si>
    <t>Lsuction</t>
  </si>
  <si>
    <t>V</t>
  </si>
  <si>
    <t>A(pipe)</t>
  </si>
  <si>
    <t>Constants</t>
  </si>
  <si>
    <t>Symbols</t>
  </si>
  <si>
    <t>Units</t>
  </si>
  <si>
    <t>v</t>
  </si>
  <si>
    <t>ft^2/s</t>
  </si>
  <si>
    <t>kinematic viscosity</t>
  </si>
  <si>
    <t>K</t>
  </si>
  <si>
    <t>Valve resistace coeff</t>
  </si>
  <si>
    <t>D</t>
  </si>
  <si>
    <t>D(pipe)</t>
  </si>
  <si>
    <t>Diameter</t>
  </si>
  <si>
    <t>Diameter(inside)</t>
  </si>
  <si>
    <t xml:space="preserve">Pipe Area </t>
  </si>
  <si>
    <t>Relative Roughness</t>
  </si>
  <si>
    <t>D/E</t>
  </si>
  <si>
    <t>E</t>
  </si>
  <si>
    <t>Roughness</t>
  </si>
  <si>
    <t>Q(pipe)</t>
  </si>
  <si>
    <t>Re</t>
  </si>
  <si>
    <t>Reynold #</t>
  </si>
  <si>
    <t>f</t>
  </si>
  <si>
    <t>Friction Factor</t>
  </si>
  <si>
    <t>left side</t>
  </si>
  <si>
    <t>right side</t>
  </si>
  <si>
    <t>Log(denominator)</t>
  </si>
  <si>
    <t>Flow(desired)</t>
  </si>
  <si>
    <t>friction loss</t>
  </si>
  <si>
    <t>Flow rate(calculated)</t>
  </si>
  <si>
    <t>Name:</t>
  </si>
  <si>
    <t>Aiden Pham</t>
  </si>
  <si>
    <t>Course:</t>
  </si>
  <si>
    <t>MET330</t>
  </si>
  <si>
    <t>Old Dominion University</t>
  </si>
  <si>
    <t>Gamma water</t>
  </si>
  <si>
    <t>lb/ft^3</t>
  </si>
  <si>
    <t>Variable Calculations</t>
  </si>
  <si>
    <t>Problem Calculation</t>
  </si>
  <si>
    <t>P2</t>
  </si>
  <si>
    <t>Schedule 40 steel pipe</t>
  </si>
  <si>
    <t>Description</t>
  </si>
  <si>
    <t>Value</t>
  </si>
  <si>
    <t>Pounds square feet</t>
  </si>
  <si>
    <t>Pressure at point 2</t>
  </si>
  <si>
    <t>hL(1)</t>
  </si>
  <si>
    <t>hL(2)</t>
  </si>
  <si>
    <t>hA</t>
  </si>
  <si>
    <t>Pump head</t>
  </si>
  <si>
    <t>P(Pump)</t>
  </si>
  <si>
    <t>HP</t>
  </si>
  <si>
    <t>Pump's power</t>
  </si>
  <si>
    <t>ΔP</t>
  </si>
  <si>
    <t>U-Tube nanometer</t>
  </si>
  <si>
    <t>lb/ft^2(PSF)</t>
  </si>
  <si>
    <t>h2</t>
  </si>
  <si>
    <t>γm</t>
  </si>
  <si>
    <t>γw</t>
  </si>
  <si>
    <t>Gamma mercury</t>
  </si>
  <si>
    <t>Section 3</t>
  </si>
  <si>
    <t>Q (ft^3/s)</t>
  </si>
  <si>
    <t>Flow rate</t>
  </si>
  <si>
    <t>Pump Power</t>
  </si>
  <si>
    <t>P(pump)</t>
  </si>
  <si>
    <t>Velocity</t>
  </si>
  <si>
    <t>Deflection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</si>
</sst>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1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11" fontId="0" fillId="0" borderId="2" xfId="0" applyNumberFormat="1" applyBorder="1"/>
    <xf numFmtId="0" fontId="0" fillId="0" borderId="3" xfId="0" applyBorder="1"/>
    <xf numFmtId="11" fontId="0" fillId="0" borderId="3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66" fontId="0" fillId="0" borderId="1" xfId="0" applyNumberFormat="1" applyBorder="1"/>
    <xf numFmtId="0" fontId="1" fillId="0" borderId="0" xfId="0" applyFont="1"/>
    <xf numFmtId="166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0" fontId="0" fillId="0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Pump power required for flow rate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Sheet1!$I$29:$I$34</c:f>
              <c:numCache>
                <c:formatCode>General</c:formatCode>
                <c:ptCount val="6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3.4159999999999999</c:v>
                </c:pt>
                <c:pt idx="5">
                  <c:v>4</c:v>
                </c:pt>
              </c:numCache>
            </c:numRef>
          </c:xVal>
          <c:yVal>
            <c:numRef>
              <c:f>Sheet1!$J$29:$J$34</c:f>
              <c:numCache>
                <c:formatCode>0.0</c:formatCode>
                <c:ptCount val="6"/>
                <c:pt idx="0">
                  <c:v>0</c:v>
                </c:pt>
                <c:pt idx="1">
                  <c:v>27.757042340083832</c:v>
                </c:pt>
                <c:pt idx="2">
                  <c:v>55.514084680167663</c:v>
                </c:pt>
                <c:pt idx="3">
                  <c:v>83.271127020251484</c:v>
                </c:pt>
                <c:pt idx="4">
                  <c:v>94.818056633726357</c:v>
                </c:pt>
                <c:pt idx="5">
                  <c:v>111.02816936033533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43-46D7-901D-EADF1CFD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502896"/>
        <c:axId val="1737086160"/>
      </c:scatterChart>
      <c:valAx>
        <c:axId val="1990502896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(ft^3/s)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086160"/>
        <c:crosses val="autoZero"/>
        <c:crossBetween val="midCat"/>
        <c:majorUnit val="1"/>
        <c:minorUnit val="0.1"/>
      </c:valAx>
      <c:valAx>
        <c:axId val="1737086160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Reqruied</a:t>
                </a:r>
                <a:r>
                  <a:rPr lang="en-US" baseline="0"/>
                  <a:t> Pump Power (HP)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502896"/>
        <c:crosses val="autoZero"/>
        <c:crossBetween val="midCat"/>
        <c:majorUnit val="20"/>
        <c:min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257174</xdr:colOff>
      <xdr:row>10</xdr:row>
      <xdr:rowOff>14286</xdr:rowOff>
    </xdr:from>
    <xdr:to>
      <xdr:col>21</xdr:col>
      <xdr:colOff>533399</xdr:colOff>
      <xdr:row>26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774237-C524-18AB-25E1-D8E167229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4C8E-38D3-4E8C-A52E-7E51A3103EE4}">
  <dimension ref="A1:Q47"/>
  <sheetViews>
    <sheetView tabSelected="1" zoomScaleNormal="100" workbookViewId="0">
      <selection activeCell="L21" sqref="L21"/>
    </sheetView>
  </sheetViews>
  <sheetFormatPr defaultRowHeight="15" x14ac:dyDescent="0.25"/>
  <cols>
    <col min="1" max="1" width="11.85546875" customWidth="1"/>
    <col min="2" max="2" width="18" customWidth="1"/>
    <col min="3" max="3" width="17.7109375" customWidth="1"/>
    <col min="4" max="4" width="16.7109375" bestFit="1" customWidth="1"/>
    <col min="5" max="5" width="19.140625" bestFit="1" customWidth="1"/>
    <col min="6" max="6" width="19.5703125" bestFit="1" customWidth="1"/>
    <col min="7" max="7" width="17.85546875" customWidth="1"/>
    <col min="8" max="8" width="13.42578125" bestFit="1" customWidth="1"/>
    <col min="9" max="9" width="17.28515625" bestFit="1" customWidth="1"/>
    <col min="10" max="11" width="18.5703125" bestFit="1" customWidth="1"/>
    <col min="12" max="12" width="18.28515625" customWidth="1"/>
    <col min="13" max="13" width="15.5703125" bestFit="1" customWidth="1"/>
  </cols>
  <sheetData>
    <row r="1" spans="1:13" x14ac:dyDescent="0.25">
      <c r="A1" s="3" t="s">
        <v>44</v>
      </c>
      <c r="B1" s="4" t="s">
        <v>45</v>
      </c>
    </row>
    <row r="2" spans="1:13" x14ac:dyDescent="0.25">
      <c r="A2" s="3" t="s">
        <v>46</v>
      </c>
      <c r="B2" s="4" t="s">
        <v>47</v>
      </c>
    </row>
    <row r="3" spans="1:13" x14ac:dyDescent="0.25">
      <c r="A3" s="18" t="s">
        <v>48</v>
      </c>
      <c r="B3" s="18"/>
    </row>
    <row r="5" spans="1:13" x14ac:dyDescent="0.25">
      <c r="A5" s="17" t="s">
        <v>16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3" t="s">
        <v>17</v>
      </c>
      <c r="B6" s="15" t="s">
        <v>13</v>
      </c>
      <c r="C6" s="15" t="s">
        <v>12</v>
      </c>
      <c r="D6" s="15" t="s">
        <v>11</v>
      </c>
      <c r="E6" s="15" t="s">
        <v>10</v>
      </c>
      <c r="F6" s="15" t="s">
        <v>19</v>
      </c>
      <c r="G6" s="15" t="s">
        <v>22</v>
      </c>
      <c r="H6" s="8" t="s">
        <v>14</v>
      </c>
      <c r="I6" s="15" t="s">
        <v>31</v>
      </c>
      <c r="J6" s="15" t="s">
        <v>24</v>
      </c>
      <c r="K6" s="15" t="s">
        <v>30</v>
      </c>
      <c r="L6" s="15" t="s">
        <v>71</v>
      </c>
      <c r="M6" s="15" t="s">
        <v>70</v>
      </c>
    </row>
    <row r="7" spans="1:13" x14ac:dyDescent="0.25">
      <c r="A7" s="3" t="s">
        <v>18</v>
      </c>
      <c r="B7" s="5" t="s">
        <v>4</v>
      </c>
      <c r="C7" s="5" t="s">
        <v>4</v>
      </c>
      <c r="D7" s="5"/>
      <c r="E7" s="5" t="s">
        <v>9</v>
      </c>
      <c r="F7" s="5" t="s">
        <v>20</v>
      </c>
      <c r="G7" s="4"/>
      <c r="H7" s="5" t="s">
        <v>5</v>
      </c>
      <c r="I7" s="5" t="s">
        <v>4</v>
      </c>
      <c r="J7" s="5" t="s">
        <v>4</v>
      </c>
      <c r="K7" s="4"/>
      <c r="L7" s="5" t="s">
        <v>50</v>
      </c>
      <c r="M7" s="32" t="s">
        <v>50</v>
      </c>
    </row>
    <row r="8" spans="1:13" x14ac:dyDescent="0.25">
      <c r="A8" s="3" t="s">
        <v>55</v>
      </c>
      <c r="B8" s="4" t="s">
        <v>3</v>
      </c>
      <c r="C8" s="4" t="s">
        <v>8</v>
      </c>
      <c r="D8" s="4" t="s">
        <v>1</v>
      </c>
      <c r="E8" s="4" t="s">
        <v>41</v>
      </c>
      <c r="F8" s="4" t="s">
        <v>21</v>
      </c>
      <c r="G8" s="4" t="s">
        <v>23</v>
      </c>
      <c r="H8" s="4" t="s">
        <v>2</v>
      </c>
      <c r="I8" s="4" t="s">
        <v>32</v>
      </c>
      <c r="J8" s="4" t="s">
        <v>26</v>
      </c>
      <c r="K8" s="4" t="s">
        <v>29</v>
      </c>
      <c r="L8" s="4" t="s">
        <v>49</v>
      </c>
      <c r="M8" s="28" t="s">
        <v>72</v>
      </c>
    </row>
    <row r="9" spans="1:13" x14ac:dyDescent="0.25">
      <c r="A9" s="3" t="s">
        <v>56</v>
      </c>
      <c r="B9" s="4">
        <v>11</v>
      </c>
      <c r="C9" s="4">
        <v>2500</v>
      </c>
      <c r="D9" s="4">
        <v>0.6</v>
      </c>
      <c r="E9" s="4">
        <v>3.387</v>
      </c>
      <c r="F9" s="7">
        <v>1.2099999999999999E-5</v>
      </c>
      <c r="G9" s="4">
        <v>5.3</v>
      </c>
      <c r="H9" s="4">
        <v>9.84</v>
      </c>
      <c r="I9" s="7">
        <v>1.4999999999999999E-4</v>
      </c>
      <c r="J9" s="4">
        <f>D22</f>
        <v>0.66510000000000002</v>
      </c>
      <c r="K9" s="14">
        <f>J9/I9</f>
        <v>4434.0000000000009</v>
      </c>
      <c r="L9" s="4">
        <v>62.4</v>
      </c>
      <c r="M9" s="33">
        <v>847</v>
      </c>
    </row>
    <row r="13" spans="1:13" x14ac:dyDescent="0.25">
      <c r="F13" s="4" t="s">
        <v>40</v>
      </c>
      <c r="G13" s="4" t="s">
        <v>38</v>
      </c>
      <c r="H13" s="4" t="s">
        <v>39</v>
      </c>
    </row>
    <row r="14" spans="1:13" x14ac:dyDescent="0.25">
      <c r="F14" s="9">
        <f>POWER(LOG(G14+H14),2)</f>
        <v>15.976303321478001</v>
      </c>
      <c r="G14" s="9">
        <f>1/(3.7*K9)</f>
        <v>6.0954052834972989E-5</v>
      </c>
      <c r="H14" s="10">
        <f>5.74/(POWER(G22,0.9))</f>
        <v>3.9730578076049561E-5</v>
      </c>
    </row>
    <row r="15" spans="1:13" x14ac:dyDescent="0.25">
      <c r="F15" s="11"/>
      <c r="G15" s="11"/>
      <c r="H15" s="12"/>
    </row>
    <row r="18" spans="1:17" x14ac:dyDescent="0.25">
      <c r="A18" s="17" t="s">
        <v>54</v>
      </c>
      <c r="B18" s="17"/>
      <c r="C18" s="17"/>
      <c r="D18" s="17"/>
      <c r="F18" s="17" t="s">
        <v>51</v>
      </c>
      <c r="G18" s="17"/>
      <c r="H18" s="17"/>
    </row>
    <row r="19" spans="1:17" x14ac:dyDescent="0.25">
      <c r="A19" s="3" t="s">
        <v>17</v>
      </c>
      <c r="B19" s="8"/>
      <c r="C19" s="8" t="s">
        <v>15</v>
      </c>
      <c r="D19" s="8" t="s">
        <v>25</v>
      </c>
      <c r="E19" s="2"/>
      <c r="F19" s="15" t="s">
        <v>33</v>
      </c>
      <c r="G19" s="15" t="s">
        <v>34</v>
      </c>
      <c r="H19" s="8" t="s">
        <v>36</v>
      </c>
    </row>
    <row r="20" spans="1:17" s="1" customFormat="1" x14ac:dyDescent="0.25">
      <c r="A20" s="3" t="s">
        <v>18</v>
      </c>
      <c r="B20" s="5" t="s">
        <v>7</v>
      </c>
      <c r="C20" s="5" t="s">
        <v>6</v>
      </c>
      <c r="D20" s="5" t="s">
        <v>4</v>
      </c>
      <c r="F20" s="5" t="s">
        <v>9</v>
      </c>
      <c r="G20" s="5"/>
      <c r="H20" s="5"/>
    </row>
    <row r="21" spans="1:17" x14ac:dyDescent="0.25">
      <c r="A21" s="3" t="s">
        <v>55</v>
      </c>
      <c r="B21" s="4" t="s">
        <v>0</v>
      </c>
      <c r="C21" s="4" t="s">
        <v>28</v>
      </c>
      <c r="D21" s="4" t="s">
        <v>27</v>
      </c>
      <c r="F21" s="4" t="s">
        <v>43</v>
      </c>
      <c r="G21" s="4" t="s">
        <v>35</v>
      </c>
      <c r="H21" s="4" t="s">
        <v>37</v>
      </c>
    </row>
    <row r="22" spans="1:17" x14ac:dyDescent="0.25">
      <c r="A22" s="3" t="s">
        <v>56</v>
      </c>
      <c r="B22" s="4">
        <v>8</v>
      </c>
      <c r="C22" s="4">
        <v>0.34720000000000001</v>
      </c>
      <c r="D22" s="6">
        <v>0.66510000000000002</v>
      </c>
      <c r="F22" s="13">
        <f>C22*$H$9</f>
        <v>3.4164479999999999</v>
      </c>
      <c r="G22" s="7">
        <f>(H9*D22)/F9</f>
        <v>540874.71074380167</v>
      </c>
      <c r="H22" s="16">
        <f>0.25/F14</f>
        <v>1.5648175611682864E-2</v>
      </c>
    </row>
    <row r="25" spans="1:17" x14ac:dyDescent="0.25">
      <c r="A25" s="17" t="s">
        <v>52</v>
      </c>
      <c r="B25" s="17"/>
      <c r="C25" s="17"/>
      <c r="D25" s="17"/>
      <c r="E25" s="17"/>
      <c r="F25" s="17"/>
      <c r="G25" s="17"/>
      <c r="I25" s="29" t="s">
        <v>73</v>
      </c>
      <c r="J25" s="30"/>
      <c r="K25" s="30"/>
      <c r="L25" s="30"/>
      <c r="M25" s="31"/>
    </row>
    <row r="26" spans="1:17" x14ac:dyDescent="0.25">
      <c r="A26" s="3" t="s">
        <v>17</v>
      </c>
      <c r="B26" s="8" t="s">
        <v>53</v>
      </c>
      <c r="C26" s="8" t="s">
        <v>59</v>
      </c>
      <c r="D26" s="8" t="s">
        <v>60</v>
      </c>
      <c r="E26" s="8" t="s">
        <v>61</v>
      </c>
      <c r="F26" s="8" t="s">
        <v>63</v>
      </c>
      <c r="G26" s="4" t="s">
        <v>66</v>
      </c>
      <c r="I26" s="8" t="s">
        <v>10</v>
      </c>
      <c r="J26" s="25" t="s">
        <v>77</v>
      </c>
      <c r="K26" s="25" t="s">
        <v>14</v>
      </c>
      <c r="L26" s="4" t="s">
        <v>66</v>
      </c>
      <c r="M26" s="25" t="s">
        <v>69</v>
      </c>
    </row>
    <row r="27" spans="1:17" x14ac:dyDescent="0.25">
      <c r="A27" s="3" t="s">
        <v>18</v>
      </c>
      <c r="B27" s="6" t="s">
        <v>57</v>
      </c>
      <c r="C27" s="5" t="s">
        <v>4</v>
      </c>
      <c r="D27" s="6" t="s">
        <v>4</v>
      </c>
      <c r="E27" s="6" t="s">
        <v>4</v>
      </c>
      <c r="F27" s="6" t="s">
        <v>64</v>
      </c>
      <c r="G27" s="6" t="s">
        <v>68</v>
      </c>
      <c r="I27" s="6" t="s">
        <v>74</v>
      </c>
      <c r="J27" s="6" t="s">
        <v>64</v>
      </c>
      <c r="K27" s="27" t="s">
        <v>5</v>
      </c>
      <c r="L27" s="6" t="s">
        <v>68</v>
      </c>
      <c r="M27" s="6" t="s">
        <v>4</v>
      </c>
    </row>
    <row r="28" spans="1:17" x14ac:dyDescent="0.25">
      <c r="A28" s="3" t="s">
        <v>55</v>
      </c>
      <c r="B28" s="4" t="s">
        <v>58</v>
      </c>
      <c r="C28" s="4" t="s">
        <v>42</v>
      </c>
      <c r="D28" s="4" t="s">
        <v>42</v>
      </c>
      <c r="E28" s="4" t="s">
        <v>62</v>
      </c>
      <c r="F28" s="4" t="s">
        <v>65</v>
      </c>
      <c r="G28" s="7" t="s">
        <v>67</v>
      </c>
      <c r="I28" s="4" t="s">
        <v>75</v>
      </c>
      <c r="J28" s="4" t="s">
        <v>76</v>
      </c>
      <c r="K28" s="28" t="s">
        <v>78</v>
      </c>
      <c r="L28" s="7" t="s">
        <v>67</v>
      </c>
      <c r="M28" s="28" t="s">
        <v>79</v>
      </c>
      <c r="P28" s="19"/>
      <c r="Q28" s="19"/>
    </row>
    <row r="29" spans="1:17" x14ac:dyDescent="0.25">
      <c r="A29" s="3" t="s">
        <v>56</v>
      </c>
      <c r="B29" s="20">
        <f>-((POWER($H$9,2)/(2*32.2))+10+C29)*$L$9</f>
        <v>-742.09913527691856</v>
      </c>
      <c r="C29" s="13">
        <f>$H$22*($B$9/$D$22)*(($H$9*$H$9)/(2*32.2))</f>
        <v>0.38911124179645518</v>
      </c>
      <c r="D29" s="14">
        <f>$H$22*($C$9/$D$22)*(($H$9*$H$9)/(2*32.2))+($G$9*(($H$9*$H$9)/(2*32.2)))</f>
        <v>96.402939595185316</v>
      </c>
      <c r="E29" s="14">
        <f>50-10+$D$29-($B$29/$L$9)-(POWER($H$9,2)/(2*32.2))</f>
        <v>146.79205083698179</v>
      </c>
      <c r="F29" s="20">
        <f>$L$9*F22*E29/550/0.6</f>
        <v>94.830491788694701</v>
      </c>
      <c r="G29" s="20">
        <f>(1.67+(POWER($H$9,2)/(2*32.2)*($H$22*(1.67/$D$22)+$G$9)))*$L$9</f>
        <v>605.13277474302924</v>
      </c>
      <c r="I29" s="26">
        <v>0</v>
      </c>
      <c r="J29" s="20">
        <f>$L$9*I29*$E$29/550/0.6</f>
        <v>0</v>
      </c>
      <c r="K29" s="14">
        <f>I29/$C$22</f>
        <v>0</v>
      </c>
      <c r="L29" s="20">
        <f>(1.67+(POWER(K29,2)/(2*32.2)*($H$22*(1.67/$D$22)+$G$9)))*$L$9</f>
        <v>104.208</v>
      </c>
      <c r="M29" s="13">
        <f>(L29-(1.67*$L$9))/($M$9-$L$9)</f>
        <v>0</v>
      </c>
      <c r="P29" s="19"/>
      <c r="Q29" s="23"/>
    </row>
    <row r="30" spans="1:17" x14ac:dyDescent="0.25">
      <c r="A30" s="19"/>
      <c r="B30" s="22"/>
      <c r="C30" s="23"/>
      <c r="D30" s="24"/>
      <c r="E30" s="24"/>
      <c r="F30" s="19"/>
      <c r="G30" s="22"/>
      <c r="I30" s="4">
        <v>1</v>
      </c>
      <c r="J30" s="20">
        <f t="shared" ref="J30:J34" si="0">$L$9*I30*$E$29/550/0.6</f>
        <v>27.757042340083832</v>
      </c>
      <c r="K30" s="14">
        <f t="shared" ref="K30:K34" si="1">I30/$C$22</f>
        <v>2.8801843317972349</v>
      </c>
      <c r="L30" s="20">
        <f t="shared" ref="L30:L34" si="2">(1.67+(POWER(K30,2)/(2*32.2)*($H$22*(1.67/$D$22)+$G$9)))*$L$9</f>
        <v>147.12436019922205</v>
      </c>
      <c r="M30" s="13">
        <f t="shared" ref="M30:M34" si="3">(L30-(1.67*$L$9))/($M$9-$L$9)</f>
        <v>5.4698394340073994E-2</v>
      </c>
      <c r="P30" s="19"/>
      <c r="Q30" s="23"/>
    </row>
    <row r="31" spans="1:17" x14ac:dyDescent="0.25">
      <c r="B31" s="22"/>
      <c r="C31" s="23"/>
      <c r="D31" s="24"/>
      <c r="E31" s="24"/>
      <c r="F31" s="19"/>
      <c r="G31" s="22"/>
      <c r="I31" s="4">
        <v>2</v>
      </c>
      <c r="J31" s="20">
        <f t="shared" si="0"/>
        <v>55.514084680167663</v>
      </c>
      <c r="K31" s="14">
        <f t="shared" si="1"/>
        <v>5.7603686635944698</v>
      </c>
      <c r="L31" s="20">
        <f t="shared" si="2"/>
        <v>275.87344079688825</v>
      </c>
      <c r="M31" s="13">
        <f t="shared" si="3"/>
        <v>0.218793577360296</v>
      </c>
      <c r="P31" s="19"/>
      <c r="Q31" s="23"/>
    </row>
    <row r="32" spans="1:17" x14ac:dyDescent="0.25">
      <c r="B32" s="22"/>
      <c r="C32" s="23"/>
      <c r="D32" s="24"/>
      <c r="E32" s="19"/>
      <c r="F32" s="19"/>
      <c r="G32" s="22"/>
      <c r="I32" s="4">
        <v>3</v>
      </c>
      <c r="J32" s="20">
        <f t="shared" si="0"/>
        <v>83.271127020251484</v>
      </c>
      <c r="K32" s="14">
        <f t="shared" si="1"/>
        <v>8.6405529953917046</v>
      </c>
      <c r="L32" s="20">
        <f t="shared" si="2"/>
        <v>490.45524179299855</v>
      </c>
      <c r="M32" s="13">
        <f t="shared" si="3"/>
        <v>0.49228554906066602</v>
      </c>
      <c r="P32" s="19"/>
      <c r="Q32" s="23"/>
    </row>
    <row r="33" spans="2:17" x14ac:dyDescent="0.25">
      <c r="B33" s="22"/>
      <c r="C33" s="23"/>
      <c r="D33" s="24"/>
      <c r="E33" s="19"/>
      <c r="F33" s="23"/>
      <c r="G33" s="22"/>
      <c r="I33" s="4">
        <v>3.4159999999999999</v>
      </c>
      <c r="J33" s="20">
        <f t="shared" si="0"/>
        <v>94.818056633726357</v>
      </c>
      <c r="K33" s="14">
        <f t="shared" si="1"/>
        <v>9.8387096774193541</v>
      </c>
      <c r="L33" s="20">
        <f t="shared" si="2"/>
        <v>605.00141048089336</v>
      </c>
      <c r="M33" s="13">
        <f t="shared" si="3"/>
        <v>0.63827862666440649</v>
      </c>
      <c r="P33" s="19"/>
      <c r="Q33" s="23"/>
    </row>
    <row r="34" spans="2:17" x14ac:dyDescent="0.25">
      <c r="B34" s="22"/>
      <c r="C34" s="23"/>
      <c r="D34" s="24"/>
      <c r="E34" s="19"/>
      <c r="F34" s="23"/>
      <c r="G34" s="22"/>
      <c r="I34" s="4">
        <v>4</v>
      </c>
      <c r="J34" s="20">
        <f t="shared" si="0"/>
        <v>111.02816936033533</v>
      </c>
      <c r="K34" s="14">
        <f t="shared" si="1"/>
        <v>11.52073732718894</v>
      </c>
      <c r="L34" s="20">
        <f t="shared" si="2"/>
        <v>790.86976318755308</v>
      </c>
      <c r="M34" s="13">
        <f t="shared" si="3"/>
        <v>0.87517430944118413</v>
      </c>
    </row>
    <row r="35" spans="2:17" x14ac:dyDescent="0.25">
      <c r="B35" s="22"/>
      <c r="C35" s="23"/>
      <c r="D35" s="24"/>
      <c r="E35" s="19"/>
      <c r="F35" s="23"/>
      <c r="G35" s="22"/>
    </row>
    <row r="36" spans="2:17" x14ac:dyDescent="0.25">
      <c r="E36" s="19"/>
      <c r="F36" s="23"/>
    </row>
    <row r="37" spans="2:17" x14ac:dyDescent="0.25">
      <c r="E37" s="19"/>
      <c r="F37" s="23"/>
    </row>
    <row r="44" spans="2:17" x14ac:dyDescent="0.25">
      <c r="E44" s="21"/>
    </row>
    <row r="47" spans="2:17" x14ac:dyDescent="0.25">
      <c r="G47" s="20"/>
    </row>
  </sheetData>
  <mergeCells count="6">
    <mergeCell ref="A18:D18"/>
    <mergeCell ref="A3:B3"/>
    <mergeCell ref="F18:H18"/>
    <mergeCell ref="A25:G25"/>
    <mergeCell ref="I25:M25"/>
    <mergeCell ref="A5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</dc:creator>
  <cp:lastModifiedBy>DK</cp:lastModifiedBy>
  <dcterms:created xsi:type="dcterms:W3CDTF">2023-10-02T20:06:51Z</dcterms:created>
  <dcterms:modified xsi:type="dcterms:W3CDTF">2023-10-03T22:10:13Z</dcterms:modified>
</cp:coreProperties>
</file>