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nter Young\Downloads\"/>
    </mc:Choice>
  </mc:AlternateContent>
  <xr:revisionPtr revIDLastSave="0" documentId="13_ncr:1_{7F5AB6F9-C7FB-4F92-AEF2-06329D980A8C}" xr6:coauthVersionLast="47" xr6:coauthVersionMax="47" xr10:uidLastSave="{00000000-0000-0000-0000-000000000000}"/>
  <bookViews>
    <workbookView xWindow="-28920" yWindow="5130" windowWidth="29040" windowHeight="15840" activeTab="1" xr2:uid="{191FA7D3-A86B-4D81-A9B6-29C76D7D7A7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" i="2" l="1"/>
  <c r="V4" i="2"/>
  <c r="V5" i="2"/>
  <c r="V6" i="2"/>
  <c r="V7" i="2"/>
  <c r="V8" i="2"/>
  <c r="V9" i="2"/>
  <c r="V10" i="2"/>
  <c r="V2" i="2"/>
  <c r="U3" i="2"/>
  <c r="U4" i="2"/>
  <c r="U5" i="2"/>
  <c r="U6" i="2"/>
  <c r="U7" i="2"/>
  <c r="U8" i="2"/>
  <c r="U9" i="2"/>
  <c r="U10" i="2"/>
  <c r="U2" i="2"/>
  <c r="T3" i="2"/>
  <c r="T4" i="2"/>
  <c r="T5" i="2"/>
  <c r="T6" i="2"/>
  <c r="T7" i="2"/>
  <c r="T8" i="2"/>
  <c r="T9" i="2"/>
  <c r="T10" i="2"/>
  <c r="T2" i="2"/>
  <c r="S3" i="2"/>
  <c r="S4" i="2"/>
  <c r="S5" i="2"/>
  <c r="S6" i="2"/>
  <c r="S7" i="2"/>
  <c r="S8" i="2"/>
  <c r="S9" i="2"/>
  <c r="S10" i="2"/>
  <c r="S2" i="2"/>
  <c r="R3" i="2"/>
  <c r="R4" i="2"/>
  <c r="R5" i="2"/>
  <c r="R6" i="2"/>
  <c r="R7" i="2"/>
  <c r="R8" i="2"/>
  <c r="R9" i="2"/>
  <c r="R10" i="2"/>
  <c r="R2" i="2"/>
  <c r="Q3" i="2"/>
  <c r="Q4" i="2"/>
  <c r="Q5" i="2"/>
  <c r="Q6" i="2"/>
  <c r="Q7" i="2"/>
  <c r="Q8" i="2"/>
  <c r="Q9" i="2"/>
  <c r="Q10" i="2"/>
  <c r="Q2" i="2"/>
  <c r="B20" i="2"/>
  <c r="P3" i="2"/>
  <c r="P4" i="2"/>
  <c r="P5" i="2"/>
  <c r="P6" i="2"/>
  <c r="P7" i="2"/>
  <c r="P8" i="2"/>
  <c r="P9" i="2"/>
  <c r="P10" i="2"/>
  <c r="P2" i="2"/>
  <c r="O3" i="2"/>
  <c r="O4" i="2"/>
  <c r="O5" i="2"/>
  <c r="O6" i="2"/>
  <c r="O7" i="2"/>
  <c r="O8" i="2"/>
  <c r="O9" i="2"/>
  <c r="O10" i="2"/>
  <c r="O2" i="2"/>
  <c r="N3" i="2"/>
  <c r="N4" i="2"/>
  <c r="N5" i="2"/>
  <c r="N6" i="2"/>
  <c r="N7" i="2"/>
  <c r="N8" i="2"/>
  <c r="N9" i="2"/>
  <c r="N10" i="2"/>
  <c r="N2" i="2"/>
  <c r="B11" i="2"/>
  <c r="M3" i="2"/>
  <c r="M4" i="2"/>
  <c r="M5" i="2"/>
  <c r="M6" i="2"/>
  <c r="M7" i="2"/>
  <c r="M8" i="2"/>
  <c r="M9" i="2"/>
  <c r="M10" i="2"/>
  <c r="M2" i="2"/>
  <c r="K7" i="2"/>
  <c r="B23" i="2"/>
  <c r="B3" i="2"/>
  <c r="G12" i="2"/>
  <c r="G6" i="2"/>
  <c r="G9" i="2"/>
  <c r="G14" i="2"/>
  <c r="G1" i="2"/>
  <c r="G2" i="2" s="1"/>
  <c r="B16" i="2" s="1"/>
  <c r="B7" i="2"/>
  <c r="B8" i="2" s="1"/>
  <c r="B6" i="2"/>
  <c r="B2" i="2"/>
  <c r="F12" i="1"/>
  <c r="F10" i="1"/>
  <c r="F8" i="1"/>
  <c r="F5" i="1"/>
  <c r="F13" i="1" s="1"/>
  <c r="F14" i="1" s="1"/>
  <c r="B14" i="1"/>
  <c r="B13" i="1"/>
  <c r="B10" i="1"/>
  <c r="B12" i="1"/>
  <c r="B8" i="1"/>
  <c r="B5" i="1"/>
  <c r="B4" i="2" l="1"/>
  <c r="B21" i="2" s="1"/>
  <c r="G3" i="2"/>
  <c r="B9" i="2"/>
  <c r="B12" i="2" l="1"/>
  <c r="B19" i="2"/>
  <c r="B14" i="2"/>
</calcChain>
</file>

<file path=xl/sharedStrings.xml><?xml version="1.0" encoding="utf-8"?>
<sst xmlns="http://schemas.openxmlformats.org/spreadsheetml/2006/main" count="125" uniqueCount="63">
  <si>
    <t>Pressure</t>
  </si>
  <si>
    <t>SG</t>
  </si>
  <si>
    <t>psi</t>
  </si>
  <si>
    <t>Specifc Weight (H20@4C)</t>
  </si>
  <si>
    <t>Kn/m^3</t>
  </si>
  <si>
    <t>ft</t>
  </si>
  <si>
    <t>kPa</t>
  </si>
  <si>
    <t>Height(H2)</t>
  </si>
  <si>
    <t>Height(H3)</t>
  </si>
  <si>
    <t>m</t>
  </si>
  <si>
    <t>Height (Total)</t>
  </si>
  <si>
    <t>Gas</t>
  </si>
  <si>
    <t>Specific Weight</t>
  </si>
  <si>
    <t>New Deflection</t>
  </si>
  <si>
    <t>Mercury</t>
  </si>
  <si>
    <t>Density</t>
  </si>
  <si>
    <t>Flow Rate</t>
  </si>
  <si>
    <t>Dynamic Viscosity</t>
  </si>
  <si>
    <t>Kinematic Viscosity</t>
  </si>
  <si>
    <t>Reynolds Number</t>
  </si>
  <si>
    <t>Relative Roughness</t>
  </si>
  <si>
    <t>Friction Coefficient</t>
  </si>
  <si>
    <t>kg/m^3</t>
  </si>
  <si>
    <t>gpm</t>
  </si>
  <si>
    <t>m^3/s</t>
  </si>
  <si>
    <t>kg*s/ft^2</t>
  </si>
  <si>
    <t>lb*s/ft^2</t>
  </si>
  <si>
    <t>Velocity</t>
  </si>
  <si>
    <t>Area</t>
  </si>
  <si>
    <t>Internal Diameter</t>
  </si>
  <si>
    <t>m^2</t>
  </si>
  <si>
    <t>m/s</t>
  </si>
  <si>
    <t>Velocity_2</t>
  </si>
  <si>
    <t>ε</t>
  </si>
  <si>
    <t>mm</t>
  </si>
  <si>
    <t>from moody chart</t>
  </si>
  <si>
    <t>mm/mm</t>
  </si>
  <si>
    <t>Loss Head</t>
  </si>
  <si>
    <t>G</t>
  </si>
  <si>
    <t>m/s^2</t>
  </si>
  <si>
    <t>Pump Head</t>
  </si>
  <si>
    <t>Pressure_2</t>
  </si>
  <si>
    <t>Pipe Length</t>
  </si>
  <si>
    <t>Point 2 Depth</t>
  </si>
  <si>
    <t>kn/m^3</t>
  </si>
  <si>
    <t>Pressure @ inlet</t>
  </si>
  <si>
    <t>Pressure inlet depth</t>
  </si>
  <si>
    <t>(N*m/m)</t>
  </si>
  <si>
    <t>Power</t>
  </si>
  <si>
    <t>n/m^3</t>
  </si>
  <si>
    <t>Watts</t>
  </si>
  <si>
    <t>Cost per 6 ft</t>
  </si>
  <si>
    <t>Nominal Size (in)</t>
  </si>
  <si>
    <t>Internal D(m)</t>
  </si>
  <si>
    <t>Internal D(mm)</t>
  </si>
  <si>
    <t>Area(m^2)</t>
  </si>
  <si>
    <t>Power(kW)</t>
  </si>
  <si>
    <t>Power(W)</t>
  </si>
  <si>
    <t>Total Pipe Length</t>
  </si>
  <si>
    <t>Installation Price</t>
  </si>
  <si>
    <t>Operation Cost</t>
  </si>
  <si>
    <t>Price of kW per year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</si>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</sst>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B7088-0CCF-4874-BC16-FD56D5A6122C}">
  <dimension ref="A1:G14"/>
  <sheetViews>
    <sheetView workbookViewId="0">
      <selection activeCell="E53" sqref="E53"/>
    </sheetView>
  </sheetViews>
  <sheetFormatPr defaultRowHeight="15" x14ac:dyDescent="0.25"/>
  <cols>
    <col min="1" max="1" width="15.7109375" customWidth="1"/>
    <col min="5" max="5" width="16.28515625" customWidth="1"/>
  </cols>
  <sheetData>
    <row r="1" spans="1:7" x14ac:dyDescent="0.25">
      <c r="A1" t="s">
        <v>11</v>
      </c>
      <c r="E1" t="s">
        <v>14</v>
      </c>
    </row>
    <row r="2" spans="1:7" x14ac:dyDescent="0.25">
      <c r="A2" t="s">
        <v>1</v>
      </c>
      <c r="B2">
        <v>0.68</v>
      </c>
      <c r="E2" t="s">
        <v>1</v>
      </c>
      <c r="F2">
        <v>13.54</v>
      </c>
    </row>
    <row r="3" spans="1:7" x14ac:dyDescent="0.25">
      <c r="A3" t="s">
        <v>12</v>
      </c>
      <c r="B3">
        <v>6.67</v>
      </c>
      <c r="C3" t="s">
        <v>4</v>
      </c>
      <c r="E3" t="s">
        <v>12</v>
      </c>
      <c r="F3">
        <v>133.69999999999999</v>
      </c>
      <c r="G3" t="s">
        <v>4</v>
      </c>
    </row>
    <row r="4" spans="1:7" x14ac:dyDescent="0.25">
      <c r="A4" t="s">
        <v>0</v>
      </c>
      <c r="B4">
        <v>2.7176999999999998</v>
      </c>
      <c r="C4" t="s">
        <v>2</v>
      </c>
      <c r="E4" t="s">
        <v>0</v>
      </c>
      <c r="F4">
        <v>2.7176999999999998</v>
      </c>
      <c r="G4" t="s">
        <v>2</v>
      </c>
    </row>
    <row r="5" spans="1:7" x14ac:dyDescent="0.25">
      <c r="A5" t="s">
        <v>0</v>
      </c>
      <c r="B5">
        <f>B4*6.89476</f>
        <v>18.737889251999999</v>
      </c>
      <c r="C5" t="s">
        <v>6</v>
      </c>
      <c r="E5" t="s">
        <v>0</v>
      </c>
      <c r="F5">
        <f>F4*6.89476</f>
        <v>18.737889251999999</v>
      </c>
      <c r="G5" t="s">
        <v>6</v>
      </c>
    </row>
    <row r="6" spans="1:7" x14ac:dyDescent="0.25">
      <c r="A6" t="s">
        <v>3</v>
      </c>
      <c r="B6">
        <v>9.81</v>
      </c>
      <c r="C6" t="s">
        <v>4</v>
      </c>
      <c r="E6" t="s">
        <v>3</v>
      </c>
      <c r="F6">
        <v>9.81</v>
      </c>
      <c r="G6" t="s">
        <v>4</v>
      </c>
    </row>
    <row r="7" spans="1:7" x14ac:dyDescent="0.25">
      <c r="A7" t="s">
        <v>7</v>
      </c>
      <c r="B7">
        <v>3</v>
      </c>
      <c r="C7" t="s">
        <v>5</v>
      </c>
      <c r="E7" t="s">
        <v>7</v>
      </c>
      <c r="F7">
        <v>3</v>
      </c>
      <c r="G7" t="s">
        <v>5</v>
      </c>
    </row>
    <row r="8" spans="1:7" x14ac:dyDescent="0.25">
      <c r="A8" t="s">
        <v>7</v>
      </c>
      <c r="B8">
        <f>B7*0.3048</f>
        <v>0.9144000000000001</v>
      </c>
      <c r="C8" t="s">
        <v>9</v>
      </c>
      <c r="E8" t="s">
        <v>7</v>
      </c>
      <c r="F8">
        <f>F7*0.3048</f>
        <v>0.9144000000000001</v>
      </c>
      <c r="G8" t="s">
        <v>9</v>
      </c>
    </row>
    <row r="9" spans="1:7" x14ac:dyDescent="0.25">
      <c r="A9" t="s">
        <v>8</v>
      </c>
      <c r="B9">
        <v>2</v>
      </c>
      <c r="C9" t="s">
        <v>5</v>
      </c>
      <c r="E9" t="s">
        <v>8</v>
      </c>
      <c r="F9">
        <v>2</v>
      </c>
      <c r="G9" t="s">
        <v>5</v>
      </c>
    </row>
    <row r="10" spans="1:7" x14ac:dyDescent="0.25">
      <c r="A10" t="s">
        <v>8</v>
      </c>
      <c r="B10">
        <f>B9*0.3048</f>
        <v>0.60960000000000003</v>
      </c>
      <c r="C10" t="s">
        <v>9</v>
      </c>
      <c r="E10" t="s">
        <v>8</v>
      </c>
      <c r="F10">
        <f>F9*0.3048</f>
        <v>0.60960000000000003</v>
      </c>
      <c r="G10" t="s">
        <v>9</v>
      </c>
    </row>
    <row r="11" spans="1:7" x14ac:dyDescent="0.25">
      <c r="A11" t="s">
        <v>10</v>
      </c>
      <c r="B11">
        <v>11</v>
      </c>
      <c r="C11" t="s">
        <v>5</v>
      </c>
      <c r="E11" t="s">
        <v>10</v>
      </c>
      <c r="F11">
        <v>11</v>
      </c>
      <c r="G11" t="s">
        <v>5</v>
      </c>
    </row>
    <row r="12" spans="1:7" x14ac:dyDescent="0.25">
      <c r="A12" t="s">
        <v>10</v>
      </c>
      <c r="B12">
        <f>B11*0.3048</f>
        <v>3.3528000000000002</v>
      </c>
      <c r="C12" t="s">
        <v>9</v>
      </c>
      <c r="E12" t="s">
        <v>10</v>
      </c>
      <c r="F12">
        <f>F11*0.3048</f>
        <v>3.3528000000000002</v>
      </c>
      <c r="G12" t="s">
        <v>9</v>
      </c>
    </row>
    <row r="13" spans="1:7" x14ac:dyDescent="0.25">
      <c r="A13" t="s">
        <v>13</v>
      </c>
      <c r="B13">
        <f>((-B5+(B6*B12)-(B6*B10)))/B3</f>
        <v>1.2253227508245881</v>
      </c>
      <c r="C13" t="s">
        <v>9</v>
      </c>
      <c r="E13" t="s">
        <v>13</v>
      </c>
      <c r="F13">
        <f>((-F5+(F6*F12)-(F6*F10)))/F3</f>
        <v>6.1128666776365019E-2</v>
      </c>
      <c r="G13" t="s">
        <v>9</v>
      </c>
    </row>
    <row r="14" spans="1:7" x14ac:dyDescent="0.25">
      <c r="A14" t="s">
        <v>13</v>
      </c>
      <c r="B14">
        <f>B13*3.28084</f>
        <v>4.0200878938153419</v>
      </c>
      <c r="C14" t="s">
        <v>5</v>
      </c>
      <c r="E14" t="s">
        <v>13</v>
      </c>
      <c r="F14">
        <f>F13*3.28084</f>
        <v>0.2005533751065694</v>
      </c>
      <c r="G14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C9FC4-B98C-49B9-9FCD-2E7228376ADA}">
  <dimension ref="A1:V23"/>
  <sheetViews>
    <sheetView tabSelected="1" workbookViewId="0">
      <selection activeCell="W2" sqref="W2"/>
    </sheetView>
  </sheetViews>
  <sheetFormatPr defaultRowHeight="15" x14ac:dyDescent="0.25"/>
  <cols>
    <col min="1" max="1" width="18.140625" customWidth="1"/>
    <col min="2" max="2" width="12" bestFit="1" customWidth="1"/>
    <col min="4" max="4" width="6.42578125" customWidth="1"/>
    <col min="5" max="5" width="5.85546875" customWidth="1"/>
    <col min="6" max="6" width="16.7109375" customWidth="1"/>
    <col min="9" max="9" width="3.140625" customWidth="1"/>
    <col min="10" max="10" width="15.7109375" customWidth="1"/>
    <col min="11" max="11" width="11.5703125" customWidth="1"/>
    <col min="12" max="12" width="12.5703125" customWidth="1"/>
    <col min="13" max="13" width="14.140625" customWidth="1"/>
    <col min="14" max="14" width="10.140625" customWidth="1"/>
    <col min="16" max="16" width="9.85546875" customWidth="1"/>
    <col min="17" max="17" width="11.140625" customWidth="1"/>
    <col min="18" max="18" width="10.28515625" customWidth="1"/>
    <col min="19" max="19" width="10.85546875" customWidth="1"/>
    <col min="20" max="20" width="16" customWidth="1"/>
    <col min="21" max="21" width="14.85546875" customWidth="1"/>
    <col min="22" max="22" width="10.28515625" customWidth="1"/>
  </cols>
  <sheetData>
    <row r="1" spans="1:22" x14ac:dyDescent="0.25">
      <c r="A1" t="s">
        <v>1</v>
      </c>
      <c r="B1">
        <v>0.92</v>
      </c>
      <c r="F1" t="s">
        <v>29</v>
      </c>
      <c r="G1">
        <f>0.04115</f>
        <v>4.1149999999999999E-2</v>
      </c>
      <c r="H1" t="s">
        <v>9</v>
      </c>
      <c r="J1" t="s">
        <v>52</v>
      </c>
      <c r="K1" t="s">
        <v>51</v>
      </c>
      <c r="L1" t="s">
        <v>53</v>
      </c>
      <c r="M1" t="s">
        <v>54</v>
      </c>
      <c r="N1" t="s">
        <v>55</v>
      </c>
      <c r="O1" t="s">
        <v>27</v>
      </c>
      <c r="P1" t="s">
        <v>37</v>
      </c>
      <c r="Q1" t="s">
        <v>40</v>
      </c>
      <c r="R1" t="s">
        <v>57</v>
      </c>
      <c r="S1" t="s">
        <v>56</v>
      </c>
      <c r="T1" t="s">
        <v>59</v>
      </c>
      <c r="U1" t="s">
        <v>60</v>
      </c>
      <c r="V1" t="s">
        <v>62</v>
      </c>
    </row>
    <row r="2" spans="1:22" x14ac:dyDescent="0.25">
      <c r="A2" t="s">
        <v>15</v>
      </c>
      <c r="B2">
        <f>B1*1000</f>
        <v>920</v>
      </c>
      <c r="C2" t="s">
        <v>22</v>
      </c>
      <c r="F2" t="s">
        <v>29</v>
      </c>
      <c r="G2">
        <f>G1*1000</f>
        <v>41.15</v>
      </c>
      <c r="H2" t="s">
        <v>34</v>
      </c>
      <c r="J2">
        <v>0.5</v>
      </c>
      <c r="K2">
        <v>12.95</v>
      </c>
      <c r="L2">
        <v>1.5789999999999998E-2</v>
      </c>
      <c r="M2">
        <f>L2*1000</f>
        <v>15.79</v>
      </c>
      <c r="N2">
        <f>PI()*((L2/2)^2)</f>
        <v>1.958186902307217E-4</v>
      </c>
      <c r="O2">
        <f>$B$6/N2</f>
        <v>19.331147581162373</v>
      </c>
      <c r="P2">
        <f>$B$17*($G$9/L2)*(O2^2/(2*$G$14))</f>
        <v>58.823097801853422</v>
      </c>
      <c r="Q2">
        <f>($B$12/$B$4)+(O2^2/(2*$G$14))+P2-$G$6</f>
        <v>77.869645549288691</v>
      </c>
      <c r="R2">
        <f>$B$3*$B$6*Q2</f>
        <v>2660.3379538183062</v>
      </c>
      <c r="S2">
        <f>R2/1000</f>
        <v>2.6603379538183063</v>
      </c>
      <c r="T2">
        <f>(K2*($G$16/6))*1.4*1.15</f>
        <v>104.24749999999999</v>
      </c>
      <c r="U2">
        <f>$G$19*S2</f>
        <v>1942.0467062873636</v>
      </c>
      <c r="V2">
        <f>T2+U2</f>
        <v>2046.2942062873635</v>
      </c>
    </row>
    <row r="3" spans="1:22" x14ac:dyDescent="0.25">
      <c r="A3" t="s">
        <v>12</v>
      </c>
      <c r="B3">
        <f>(B2*G14)</f>
        <v>9025.2000000000007</v>
      </c>
      <c r="C3" t="s">
        <v>49</v>
      </c>
      <c r="F3" t="s">
        <v>28</v>
      </c>
      <c r="G3">
        <f>PI()*((G1/2)^2)</f>
        <v>1.3299323815395756E-3</v>
      </c>
      <c r="H3" t="s">
        <v>30</v>
      </c>
      <c r="J3" s="1">
        <v>0.75</v>
      </c>
      <c r="K3">
        <v>17.95</v>
      </c>
      <c r="L3">
        <v>2.0930000000000001E-2</v>
      </c>
      <c r="M3">
        <f t="shared" ref="M3:M10" si="0">L3*1000</f>
        <v>20.93</v>
      </c>
      <c r="N3">
        <f t="shared" ref="N3:N10" si="1">PI()*((L3/2)^2)</f>
        <v>3.4405536790888685E-4</v>
      </c>
      <c r="O3">
        <f t="shared" ref="O3:O10" si="2">$B$6/N3</f>
        <v>11.002298911965976</v>
      </c>
      <c r="P3">
        <f t="shared" ref="P3:P10" si="3">$B$17*($G$9/L3)*(O3^2/(2*$G$14))</f>
        <v>14.375150505532932</v>
      </c>
      <c r="Q3">
        <f t="shared" ref="Q3:Q10" si="4">($B$12/$B$4)+(O3^2/(2*$G$14))+P3-$G$6</f>
        <v>20.544904906564923</v>
      </c>
      <c r="R3">
        <f t="shared" ref="R3:R10" si="5">$B$3*$B$6*Q3</f>
        <v>701.89596851223723</v>
      </c>
      <c r="S3">
        <f t="shared" ref="S3:S10" si="6">R3/1000</f>
        <v>0.70189596851223723</v>
      </c>
      <c r="T3">
        <f t="shared" ref="T3:T10" si="7">(K3*($G$16/6))*1.4*1.15</f>
        <v>144.49749999999997</v>
      </c>
      <c r="U3">
        <f t="shared" ref="U3:U10" si="8">$G$19*S3</f>
        <v>512.38405701393322</v>
      </c>
      <c r="V3">
        <f t="shared" ref="V3:V10" si="9">T3+U3</f>
        <v>656.88155701393316</v>
      </c>
    </row>
    <row r="4" spans="1:22" x14ac:dyDescent="0.25">
      <c r="A4" t="s">
        <v>12</v>
      </c>
      <c r="B4">
        <f>(B2*G14)/1000</f>
        <v>9.0251999999999999</v>
      </c>
      <c r="C4" t="s">
        <v>44</v>
      </c>
      <c r="J4">
        <v>1</v>
      </c>
      <c r="K4">
        <v>23.95</v>
      </c>
      <c r="L4">
        <v>2.664E-2</v>
      </c>
      <c r="M4">
        <f t="shared" si="0"/>
        <v>26.64</v>
      </c>
      <c r="N4">
        <f t="shared" si="1"/>
        <v>5.5738890842226972E-4</v>
      </c>
      <c r="O4">
        <f t="shared" si="2"/>
        <v>6.7913084433539455</v>
      </c>
      <c r="P4">
        <f t="shared" si="3"/>
        <v>4.3031594577231127</v>
      </c>
      <c r="Q4">
        <f t="shared" si="4"/>
        <v>6.6539173768245696</v>
      </c>
      <c r="R4">
        <f t="shared" si="5"/>
        <v>227.32438056280898</v>
      </c>
      <c r="S4">
        <f t="shared" si="6"/>
        <v>0.22732438056280899</v>
      </c>
      <c r="T4">
        <f t="shared" si="7"/>
        <v>192.79749999999996</v>
      </c>
      <c r="U4">
        <f t="shared" si="8"/>
        <v>165.94679781085057</v>
      </c>
      <c r="V4">
        <f t="shared" si="9"/>
        <v>358.74429781085053</v>
      </c>
    </row>
    <row r="5" spans="1:22" x14ac:dyDescent="0.25">
      <c r="A5" t="s">
        <v>16</v>
      </c>
      <c r="B5">
        <v>60</v>
      </c>
      <c r="C5" t="s">
        <v>23</v>
      </c>
      <c r="F5" t="s">
        <v>43</v>
      </c>
      <c r="G5">
        <v>3</v>
      </c>
      <c r="H5" t="s">
        <v>5</v>
      </c>
      <c r="J5">
        <v>1.25</v>
      </c>
      <c r="K5">
        <v>28.95</v>
      </c>
      <c r="L5">
        <v>3.5049999999999998E-2</v>
      </c>
      <c r="M5">
        <f t="shared" si="0"/>
        <v>35.049999999999997</v>
      </c>
      <c r="N5">
        <f t="shared" si="1"/>
        <v>9.6486360722917357E-4</v>
      </c>
      <c r="O5">
        <f t="shared" si="2"/>
        <v>3.9232488111668351</v>
      </c>
      <c r="P5">
        <f t="shared" si="3"/>
        <v>1.0914866559018293</v>
      </c>
      <c r="Q5">
        <f t="shared" si="4"/>
        <v>1.8759862091292496</v>
      </c>
      <c r="R5">
        <f t="shared" si="5"/>
        <v>64.091177990880908</v>
      </c>
      <c r="S5">
        <f t="shared" si="6"/>
        <v>6.4091177990880904E-2</v>
      </c>
      <c r="T5">
        <f t="shared" si="7"/>
        <v>233.04749999999996</v>
      </c>
      <c r="U5">
        <f t="shared" si="8"/>
        <v>46.786559933343057</v>
      </c>
      <c r="V5">
        <f t="shared" si="9"/>
        <v>279.83405993334304</v>
      </c>
    </row>
    <row r="6" spans="1:22" x14ac:dyDescent="0.25">
      <c r="A6" t="s">
        <v>16</v>
      </c>
      <c r="B6">
        <f>B5*0.00006309</f>
        <v>3.7853999999999995E-3</v>
      </c>
      <c r="C6" t="s">
        <v>24</v>
      </c>
      <c r="F6" t="s">
        <v>43</v>
      </c>
      <c r="G6">
        <f>G5/3.281</f>
        <v>0.91435537945748246</v>
      </c>
      <c r="H6" t="s">
        <v>9</v>
      </c>
      <c r="J6">
        <v>1.5</v>
      </c>
      <c r="K6">
        <v>33.950000000000003</v>
      </c>
      <c r="L6">
        <v>4.0890000000000003E-2</v>
      </c>
      <c r="M6">
        <f t="shared" si="0"/>
        <v>40.89</v>
      </c>
      <c r="N6">
        <f t="shared" si="1"/>
        <v>1.3131795245550429E-3</v>
      </c>
      <c r="O6">
        <f t="shared" si="2"/>
        <v>2.8826218572686342</v>
      </c>
      <c r="P6">
        <f t="shared" si="3"/>
        <v>0.5050949068466154</v>
      </c>
      <c r="Q6">
        <f t="shared" si="4"/>
        <v>0.92861727035338759</v>
      </c>
      <c r="R6">
        <f t="shared" si="5"/>
        <v>31.725273069704354</v>
      </c>
      <c r="S6">
        <f t="shared" si="6"/>
        <v>3.1725273069704352E-2</v>
      </c>
      <c r="T6">
        <f t="shared" si="7"/>
        <v>273.29749999999996</v>
      </c>
      <c r="U6">
        <f t="shared" si="8"/>
        <v>23.159449340884176</v>
      </c>
      <c r="V6">
        <f t="shared" si="9"/>
        <v>296.45694934088414</v>
      </c>
    </row>
    <row r="7" spans="1:22" x14ac:dyDescent="0.25">
      <c r="A7" t="s">
        <v>17</v>
      </c>
      <c r="B7">
        <f>3.6*10^-5</f>
        <v>3.6000000000000001E-5</v>
      </c>
      <c r="C7" t="s">
        <v>26</v>
      </c>
      <c r="J7">
        <v>1.75</v>
      </c>
      <c r="K7">
        <f>(K6+K8)/2</f>
        <v>40.450000000000003</v>
      </c>
      <c r="L7">
        <v>4.1149999999999999E-2</v>
      </c>
      <c r="M7">
        <f t="shared" si="0"/>
        <v>41.15</v>
      </c>
      <c r="N7">
        <f t="shared" si="1"/>
        <v>1.3299323815395756E-3</v>
      </c>
      <c r="O7">
        <f t="shared" si="2"/>
        <v>2.846310122637882</v>
      </c>
      <c r="P7">
        <f t="shared" si="3"/>
        <v>0.48933845263266706</v>
      </c>
      <c r="Q7">
        <f t="shared" si="4"/>
        <v>0.90225798954555569</v>
      </c>
      <c r="R7">
        <f t="shared" si="5"/>
        <v>30.824734808951089</v>
      </c>
      <c r="S7">
        <f t="shared" si="6"/>
        <v>3.082473480895109E-2</v>
      </c>
      <c r="T7">
        <f t="shared" si="7"/>
        <v>325.62249999999995</v>
      </c>
      <c r="U7">
        <f t="shared" si="8"/>
        <v>22.502056410534294</v>
      </c>
      <c r="V7">
        <f t="shared" si="9"/>
        <v>348.12455641053424</v>
      </c>
    </row>
    <row r="8" spans="1:22" x14ac:dyDescent="0.25">
      <c r="A8" t="s">
        <v>17</v>
      </c>
      <c r="B8">
        <f>B7*4.88</f>
        <v>1.7568E-4</v>
      </c>
      <c r="C8" t="s">
        <v>25</v>
      </c>
      <c r="F8" t="s">
        <v>42</v>
      </c>
      <c r="G8">
        <v>10</v>
      </c>
      <c r="H8" t="s">
        <v>5</v>
      </c>
      <c r="J8">
        <v>2</v>
      </c>
      <c r="K8">
        <v>46.95</v>
      </c>
      <c r="L8">
        <v>5.2510000000000001E-2</v>
      </c>
      <c r="M8">
        <f t="shared" si="0"/>
        <v>52.51</v>
      </c>
      <c r="N8">
        <f t="shared" si="1"/>
        <v>2.1655784344756009E-3</v>
      </c>
      <c r="O8">
        <f t="shared" si="2"/>
        <v>1.7479856373415732</v>
      </c>
      <c r="P8">
        <f t="shared" si="3"/>
        <v>0.14462669126732541</v>
      </c>
      <c r="Q8">
        <f t="shared" si="4"/>
        <v>0.30035828088773442</v>
      </c>
      <c r="R8">
        <f t="shared" si="5"/>
        <v>10.261437929410974</v>
      </c>
      <c r="S8">
        <f t="shared" si="6"/>
        <v>1.0261437929410974E-2</v>
      </c>
      <c r="T8">
        <f t="shared" si="7"/>
        <v>377.94749999999993</v>
      </c>
      <c r="U8">
        <f t="shared" si="8"/>
        <v>7.4908496884700106</v>
      </c>
      <c r="V8">
        <f t="shared" si="9"/>
        <v>385.43834968846994</v>
      </c>
    </row>
    <row r="9" spans="1:22" x14ac:dyDescent="0.25">
      <c r="A9" t="s">
        <v>18</v>
      </c>
      <c r="B9">
        <f>B8/B2</f>
        <v>1.9095652173913044E-7</v>
      </c>
      <c r="F9" t="s">
        <v>42</v>
      </c>
      <c r="G9">
        <f>G8/3.281</f>
        <v>3.047851264858275</v>
      </c>
      <c r="H9" t="s">
        <v>9</v>
      </c>
      <c r="J9">
        <v>2.5</v>
      </c>
      <c r="K9">
        <v>71.95</v>
      </c>
      <c r="L9">
        <v>6.2710000000000002E-2</v>
      </c>
      <c r="M9">
        <f t="shared" si="0"/>
        <v>62.71</v>
      </c>
      <c r="N9">
        <f t="shared" si="1"/>
        <v>3.0886129136194714E-3</v>
      </c>
      <c r="O9">
        <f t="shared" si="2"/>
        <v>1.2255987091512806</v>
      </c>
      <c r="P9">
        <f t="shared" si="3"/>
        <v>5.9535298876726837E-2</v>
      </c>
      <c r="Q9">
        <f t="shared" si="4"/>
        <v>0.13609453414040085</v>
      </c>
      <c r="R9">
        <f t="shared" si="5"/>
        <v>4.6495325865039439</v>
      </c>
      <c r="S9">
        <f t="shared" si="6"/>
        <v>4.649532586503944E-3</v>
      </c>
      <c r="T9">
        <f t="shared" si="7"/>
        <v>579.19749999999988</v>
      </c>
      <c r="U9">
        <f t="shared" si="8"/>
        <v>3.394158788147879</v>
      </c>
      <c r="V9">
        <f t="shared" si="9"/>
        <v>582.59165878814781</v>
      </c>
    </row>
    <row r="10" spans="1:22" x14ac:dyDescent="0.25">
      <c r="J10">
        <v>3</v>
      </c>
      <c r="K10">
        <v>92.95</v>
      </c>
      <c r="L10">
        <v>7.7929999999999999E-2</v>
      </c>
      <c r="M10">
        <f t="shared" si="0"/>
        <v>77.929999999999993</v>
      </c>
      <c r="N10">
        <f t="shared" si="1"/>
        <v>4.7697897266167763E-3</v>
      </c>
      <c r="O10">
        <f t="shared" si="2"/>
        <v>0.79361989038560687</v>
      </c>
      <c r="P10">
        <f t="shared" si="3"/>
        <v>2.0087928822672643E-2</v>
      </c>
      <c r="Q10">
        <f t="shared" si="4"/>
        <v>5.2189484909097694E-2</v>
      </c>
      <c r="R10">
        <f t="shared" si="5"/>
        <v>1.7830011490936932</v>
      </c>
      <c r="S10">
        <f t="shared" si="6"/>
        <v>1.7830011490936933E-3</v>
      </c>
      <c r="T10">
        <f t="shared" si="7"/>
        <v>748.24749999999995</v>
      </c>
      <c r="U10">
        <f t="shared" si="8"/>
        <v>1.3015908388383961</v>
      </c>
      <c r="V10">
        <f t="shared" si="9"/>
        <v>749.54909083883831</v>
      </c>
    </row>
    <row r="11" spans="1:22" x14ac:dyDescent="0.25">
      <c r="A11" t="s">
        <v>32</v>
      </c>
      <c r="B11">
        <f>B6/G3</f>
        <v>2.846310122637882</v>
      </c>
      <c r="C11" t="s">
        <v>31</v>
      </c>
      <c r="F11" t="s">
        <v>46</v>
      </c>
      <c r="G11">
        <v>9</v>
      </c>
      <c r="H11" t="s">
        <v>5</v>
      </c>
    </row>
    <row r="12" spans="1:22" x14ac:dyDescent="0.25">
      <c r="A12" t="s">
        <v>41</v>
      </c>
      <c r="B12">
        <f>B4*G6</f>
        <v>8.25224017067967</v>
      </c>
      <c r="C12" t="s">
        <v>6</v>
      </c>
      <c r="F12" t="s">
        <v>46</v>
      </c>
      <c r="G12">
        <f>G11/3.281</f>
        <v>2.7430661383724475</v>
      </c>
      <c r="H12" t="s">
        <v>5</v>
      </c>
    </row>
    <row r="14" spans="1:22" x14ac:dyDescent="0.25">
      <c r="A14" t="s">
        <v>19</v>
      </c>
      <c r="B14">
        <f>(B11/G1)/B9</f>
        <v>362224550.66137749</v>
      </c>
      <c r="F14" t="s">
        <v>38</v>
      </c>
      <c r="G14">
        <f>9.81</f>
        <v>9.81</v>
      </c>
      <c r="H14" t="s">
        <v>39</v>
      </c>
    </row>
    <row r="15" spans="1:22" x14ac:dyDescent="0.25">
      <c r="A15" t="s">
        <v>33</v>
      </c>
      <c r="B15">
        <v>1.4999999999999999E-2</v>
      </c>
      <c r="C15" t="s">
        <v>34</v>
      </c>
    </row>
    <row r="16" spans="1:22" x14ac:dyDescent="0.25">
      <c r="A16" t="s">
        <v>20</v>
      </c>
      <c r="B16">
        <f>B15/G2</f>
        <v>3.6452004860267317E-4</v>
      </c>
      <c r="C16" t="s">
        <v>36</v>
      </c>
      <c r="F16" t="s">
        <v>58</v>
      </c>
      <c r="G16">
        <v>30</v>
      </c>
      <c r="H16" t="s">
        <v>5</v>
      </c>
    </row>
    <row r="17" spans="1:8" x14ac:dyDescent="0.25">
      <c r="A17" t="s">
        <v>21</v>
      </c>
      <c r="B17">
        <v>1.6E-2</v>
      </c>
      <c r="C17" t="s">
        <v>35</v>
      </c>
      <c r="F17" t="s">
        <v>58</v>
      </c>
      <c r="G17">
        <v>9.1440000000000001</v>
      </c>
      <c r="H17" t="s">
        <v>9</v>
      </c>
    </row>
    <row r="19" spans="1:8" x14ac:dyDescent="0.25">
      <c r="A19" t="s">
        <v>37</v>
      </c>
      <c r="B19">
        <f>B17*(G9/G1)*(B11^2/(2*G14))</f>
        <v>0.48933845263266706</v>
      </c>
      <c r="C19" t="s">
        <v>9</v>
      </c>
      <c r="F19" t="s">
        <v>61</v>
      </c>
      <c r="G19">
        <v>730</v>
      </c>
    </row>
    <row r="20" spans="1:8" x14ac:dyDescent="0.25">
      <c r="A20" t="s">
        <v>40</v>
      </c>
      <c r="B20">
        <f>(B12/B4)+(B11^2/(2*G14))+B19-G6</f>
        <v>0.90225798954555569</v>
      </c>
      <c r="C20" t="s">
        <v>47</v>
      </c>
    </row>
    <row r="21" spans="1:8" x14ac:dyDescent="0.25">
      <c r="A21" t="s">
        <v>45</v>
      </c>
      <c r="B21">
        <f>B4*G12</f>
        <v>24.756720512039013</v>
      </c>
      <c r="C21" t="s">
        <v>6</v>
      </c>
    </row>
    <row r="23" spans="1:8" x14ac:dyDescent="0.25">
      <c r="A23" t="s">
        <v>48</v>
      </c>
      <c r="B23">
        <f>B3*B6*B20</f>
        <v>30.824734808951089</v>
      </c>
      <c r="C23" t="s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 Young</dc:creator>
  <cp:lastModifiedBy>Hunter Young</cp:lastModifiedBy>
  <dcterms:created xsi:type="dcterms:W3CDTF">2022-02-23T05:49:31Z</dcterms:created>
  <dcterms:modified xsi:type="dcterms:W3CDTF">2022-02-23T09:13:17Z</dcterms:modified>
</cp:coreProperties>
</file>