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Test 3\Test 3 Actuals\Test Submit\"/>
    </mc:Choice>
  </mc:AlternateContent>
  <xr:revisionPtr revIDLastSave="0" documentId="13_ncr:1_{669FC91B-27CE-473F-AFDD-FB7929C31376}" xr6:coauthVersionLast="47" xr6:coauthVersionMax="47" xr10:uidLastSave="{00000000-0000-0000-0000-000000000000}"/>
  <bookViews>
    <workbookView xWindow="-28920" yWindow="-120" windowWidth="29040" windowHeight="15840" xr2:uid="{260F6FE9-37B9-47AB-8F96-BD32ED3D98AE}"/>
  </bookViews>
  <sheets>
    <sheet name="Test 3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2" l="1"/>
  <c r="N195" i="2"/>
  <c r="N196" i="2"/>
  <c r="N197" i="2"/>
  <c r="N198" i="2"/>
  <c r="B186" i="2"/>
  <c r="L195" i="2"/>
  <c r="C172" i="2"/>
  <c r="N194" i="2" l="1"/>
  <c r="F172" i="2" l="1"/>
  <c r="C160" i="2"/>
  <c r="F160" i="2" s="1"/>
  <c r="C163" i="2"/>
  <c r="C157" i="2"/>
  <c r="F157" i="2" s="1"/>
  <c r="C154" i="2"/>
  <c r="C151" i="2"/>
  <c r="C131" i="2"/>
  <c r="C128" i="2"/>
  <c r="F163" i="2" s="1"/>
  <c r="C125" i="2"/>
  <c r="C122" i="2"/>
  <c r="C119" i="2"/>
  <c r="F119" i="2" s="1"/>
  <c r="C116" i="2"/>
  <c r="F154" i="2" s="1"/>
  <c r="C113" i="2"/>
  <c r="F113" i="2" s="1"/>
  <c r="N99" i="2"/>
  <c r="C41" i="2"/>
  <c r="F151" i="2" l="1"/>
  <c r="F116" i="2"/>
  <c r="F122" i="2"/>
  <c r="F128" i="2"/>
  <c r="F125" i="2"/>
  <c r="F131" i="2"/>
  <c r="C44" i="2"/>
  <c r="C28" i="2"/>
  <c r="C36" i="2"/>
  <c r="C20" i="2"/>
  <c r="C169" i="2" s="1"/>
  <c r="F169" i="2" s="1"/>
  <c r="C37" i="2"/>
  <c r="C40" i="2" s="1"/>
  <c r="C29" i="2"/>
  <c r="C32" i="2" s="1"/>
  <c r="C21" i="2"/>
  <c r="C38" i="2"/>
  <c r="C33" i="2"/>
  <c r="C30" i="2" s="1"/>
  <c r="C25" i="2"/>
  <c r="C22" i="2" s="1"/>
  <c r="C166" i="2" l="1"/>
  <c r="C134" i="2"/>
  <c r="C137" i="2"/>
  <c r="C52" i="2"/>
  <c r="F52" i="2" s="1"/>
  <c r="C61" i="2"/>
  <c r="F61" i="2" s="1"/>
  <c r="C46" i="2"/>
  <c r="C64" i="2"/>
  <c r="F64" i="2" s="1"/>
  <c r="C70" i="2"/>
  <c r="F70" i="2" s="1"/>
  <c r="C49" i="2"/>
  <c r="F49" i="2" s="1"/>
  <c r="C23" i="2"/>
  <c r="C58" i="2"/>
  <c r="F58" i="2" s="1"/>
  <c r="C73" i="2"/>
  <c r="C85" i="2"/>
  <c r="C24" i="2"/>
  <c r="C31" i="2"/>
  <c r="C39" i="2"/>
  <c r="F166" i="2" l="1"/>
  <c r="F134" i="2"/>
  <c r="F137" i="2"/>
  <c r="F85" i="2"/>
  <c r="F73" i="2"/>
  <c r="G74" i="2"/>
  <c r="C67" i="2"/>
  <c r="F67" i="2" s="1"/>
  <c r="C55" i="2"/>
  <c r="F55" i="2" s="1"/>
  <c r="C76" i="2"/>
  <c r="C79" i="2"/>
  <c r="F79" i="2" s="1"/>
  <c r="F46" i="2"/>
  <c r="C82" i="2"/>
  <c r="F82" i="2" s="1"/>
  <c r="B174" i="2" l="1"/>
  <c r="G147" i="2"/>
  <c r="F76" i="2"/>
  <c r="H86" i="2"/>
  <c r="C88" i="2" s="1"/>
  <c r="M195" i="2" l="1"/>
  <c r="O195" i="2" s="1"/>
  <c r="M194" i="2"/>
  <c r="O194" i="2" s="1"/>
  <c r="M196" i="2"/>
  <c r="O196" i="2" s="1"/>
  <c r="M197" i="2"/>
  <c r="O197" i="2" s="1"/>
  <c r="M198" i="2"/>
  <c r="O198" i="2" s="1"/>
  <c r="C90" i="2"/>
  <c r="C97" i="2"/>
  <c r="B182" i="2" l="1"/>
  <c r="B183" i="2" s="1"/>
  <c r="G91" i="2"/>
  <c r="C92" i="2"/>
  <c r="B139" i="2" s="1"/>
  <c r="B147" i="2" s="1"/>
  <c r="Q195" i="2" l="1"/>
  <c r="B187" i="2"/>
  <c r="B189" i="2" s="1"/>
  <c r="B148" i="2"/>
</calcChain>
</file>

<file path=xl/sharedStrings.xml><?xml version="1.0" encoding="utf-8"?>
<sst xmlns="http://schemas.openxmlformats.org/spreadsheetml/2006/main" count="363" uniqueCount="124">
  <si>
    <t>g</t>
  </si>
  <si>
    <t>Variable</t>
  </si>
  <si>
    <t>Value</t>
  </si>
  <si>
    <t>Unit</t>
  </si>
  <si>
    <t>_</t>
  </si>
  <si>
    <t>ft</t>
  </si>
  <si>
    <r>
      <t>ft/s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</si>
  <si>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</si>
  <si>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</si>
  <si>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t>Area</t>
  </si>
  <si>
    <r>
      <t xml:space="preserve"> 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=f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*(L/D)*(V2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</si>
  <si>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Entrance Loss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</si>
  <si>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K*(V2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</si>
  <si>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Entrance Loss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Square Inlet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</si>
  <si>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t>Q</t>
  </si>
  <si>
    <t>Component</t>
  </si>
  <si>
    <t>γ</t>
  </si>
  <si>
    <t>n</t>
  </si>
  <si>
    <t>v</t>
  </si>
  <si>
    <r>
      <t>lb/ft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</si>
  <si>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slug/ft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</si>
  <si>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lb-s/ft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</si>
  <si>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</t>
    </r>
  </si>
  <si>
    <t xml:space="preserve">1in Pipe </t>
  </si>
  <si>
    <t>ID</t>
  </si>
  <si>
    <t>p</t>
  </si>
  <si>
    <t>Ft</t>
  </si>
  <si>
    <t>Re</t>
  </si>
  <si>
    <t xml:space="preserve">3in Pipe </t>
  </si>
  <si>
    <t xml:space="preserve">4in Pipe </t>
  </si>
  <si>
    <t>Part A</t>
  </si>
  <si>
    <r>
      <t>Water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@ 160 °F</t>
    </r>
  </si>
  <si>
    <t>Flow Rate</t>
  </si>
  <si>
    <t>gpm</t>
  </si>
  <si>
    <t>Resistance Coefficient</t>
  </si>
  <si>
    <r>
      <t>K</t>
    </r>
    <r>
      <rPr>
        <vertAlign val="subscript"/>
        <sz val="11"/>
        <color theme="1"/>
        <rFont val="Calibri"/>
        <family val="2"/>
        <scheme val="minor"/>
      </rPr>
      <t>Gate Valve</t>
    </r>
  </si>
  <si>
    <r>
      <t>K</t>
    </r>
    <r>
      <rPr>
        <vertAlign val="subscript"/>
        <sz val="11"/>
        <color theme="1"/>
        <rFont val="Calibri"/>
        <family val="2"/>
        <scheme val="minor"/>
      </rPr>
      <t>Entrance</t>
    </r>
  </si>
  <si>
    <r>
      <t>K</t>
    </r>
    <r>
      <rPr>
        <vertAlign val="subscript"/>
        <sz val="11"/>
        <color theme="1"/>
        <rFont val="Calibri"/>
        <family val="2"/>
        <scheme val="minor"/>
      </rPr>
      <t>Check Valve</t>
    </r>
  </si>
  <si>
    <r>
      <t>K</t>
    </r>
    <r>
      <rPr>
        <vertAlign val="subscript"/>
        <sz val="11"/>
        <color theme="1"/>
        <rFont val="Calibri"/>
        <family val="2"/>
        <scheme val="minor"/>
      </rPr>
      <t>pipe Tee</t>
    </r>
  </si>
  <si>
    <r>
      <t>K</t>
    </r>
    <r>
      <rPr>
        <vertAlign val="subscript"/>
        <sz val="11"/>
        <color theme="1"/>
        <rFont val="Calibri"/>
        <family val="2"/>
        <scheme val="minor"/>
      </rPr>
      <t>Heat Exchanger</t>
    </r>
  </si>
  <si>
    <r>
      <t>F</t>
    </r>
    <r>
      <rPr>
        <vertAlign val="subscript"/>
        <sz val="11"/>
        <color theme="1"/>
        <rFont val="Calibri"/>
        <family val="2"/>
        <scheme val="minor"/>
      </rPr>
      <t>t</t>
    </r>
  </si>
  <si>
    <t>D/ϵ</t>
  </si>
  <si>
    <t>ϵ</t>
  </si>
  <si>
    <t>Schedule 40 Pipe</t>
  </si>
  <si>
    <t>f</t>
  </si>
  <si>
    <t>(30ft) L/D</t>
  </si>
  <si>
    <t>(10ft) L/D</t>
  </si>
  <si>
    <t>(48ft) L/D</t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</si>
  <si>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Heat Exchanger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=K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</si>
  <si>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HX Loss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</si>
  <si>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(3") h</t>
    </r>
    <r>
      <rPr>
        <vertAlign val="subscript"/>
        <sz val="11"/>
        <color theme="1"/>
        <rFont val="Calibri"/>
        <family val="2"/>
        <scheme val="minor"/>
      </rPr>
      <t xml:space="preserve">L Overall Pipe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=f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*(L/D)*(V2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</si>
  <si>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(1") h</t>
    </r>
    <r>
      <rPr>
        <vertAlign val="subscript"/>
        <sz val="11"/>
        <color theme="1"/>
        <rFont val="Calibri"/>
        <family val="2"/>
        <scheme val="minor"/>
      </rPr>
      <t xml:space="preserve">L Overall Pipe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=f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*(L/D)*(V2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</si>
  <si>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(4") h</t>
    </r>
    <r>
      <rPr>
        <vertAlign val="subscript"/>
        <sz val="11"/>
        <color theme="1"/>
        <rFont val="Calibri"/>
        <family val="2"/>
        <scheme val="minor"/>
      </rPr>
      <t xml:space="preserve">L Suction Line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=f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*(L/D)*(V2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</si>
  <si>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t>Gravity</t>
  </si>
  <si>
    <r>
      <t>(4") h</t>
    </r>
    <r>
      <rPr>
        <vertAlign val="subscript"/>
        <sz val="11"/>
        <color theme="1"/>
        <rFont val="Calibri"/>
        <family val="2"/>
        <scheme val="minor"/>
      </rPr>
      <t xml:space="preserve">L Gate Valve 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Gate Valve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</si>
  <si>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(3") h</t>
    </r>
    <r>
      <rPr>
        <vertAlign val="subscript"/>
        <sz val="11"/>
        <color theme="1"/>
        <rFont val="Calibri"/>
        <family val="2"/>
        <scheme val="minor"/>
      </rPr>
      <t xml:space="preserve">L Pipe Tee       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Pipe Tee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</si>
  <si>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(3") h</t>
    </r>
    <r>
      <rPr>
        <vertAlign val="subscript"/>
        <sz val="11"/>
        <color theme="1"/>
        <rFont val="Calibri"/>
        <family val="2"/>
        <scheme val="minor"/>
      </rPr>
      <t>L Pipe Bend 90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 xml:space="preserve">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Pipe Bend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</si>
  <si>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(4") h</t>
    </r>
    <r>
      <rPr>
        <vertAlign val="subscript"/>
        <sz val="11"/>
        <color theme="1"/>
        <rFont val="Calibri"/>
        <family val="2"/>
        <scheme val="minor"/>
      </rPr>
      <t>L Pipe Bend 90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 xml:space="preserve">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Pipe Bend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</si>
  <si>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K</t>
    </r>
    <r>
      <rPr>
        <vertAlign val="subscript"/>
        <sz val="11"/>
        <color theme="1"/>
        <rFont val="Calibri"/>
        <family val="2"/>
        <scheme val="minor"/>
      </rPr>
      <t>Elbow</t>
    </r>
  </si>
  <si>
    <r>
      <t>(3") h</t>
    </r>
    <r>
      <rPr>
        <vertAlign val="subscript"/>
        <sz val="11"/>
        <color theme="1"/>
        <rFont val="Calibri"/>
        <family val="2"/>
        <scheme val="minor"/>
      </rPr>
      <t xml:space="preserve">L Gate Valve 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Gate Valve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</si>
  <si>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(3") h</t>
    </r>
    <r>
      <rPr>
        <vertAlign val="subscript"/>
        <sz val="11"/>
        <color theme="1"/>
        <rFont val="Calibri"/>
        <family val="2"/>
        <scheme val="minor"/>
      </rPr>
      <t xml:space="preserve">L Check Valve 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Check Valve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</si>
  <si>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t>Quantity</t>
  </si>
  <si>
    <t>Total</t>
  </si>
  <si>
    <t>Pump Efficiency</t>
  </si>
  <si>
    <t>Height</t>
  </si>
  <si>
    <r>
      <t>P</t>
    </r>
    <r>
      <rPr>
        <vertAlign val="subscript"/>
        <sz val="11"/>
        <color theme="1"/>
        <rFont val="Calibri"/>
        <family val="2"/>
        <scheme val="minor"/>
      </rPr>
      <t>A</t>
    </r>
  </si>
  <si>
    <r>
      <t>h</t>
    </r>
    <r>
      <rPr>
        <vertAlign val="subscript"/>
        <sz val="11"/>
        <color theme="1"/>
        <rFont val="Calibri"/>
        <family val="2"/>
        <scheme val="minor"/>
      </rPr>
      <t>A</t>
    </r>
  </si>
  <si>
    <r>
      <t>P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=h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YQ/550</t>
    </r>
  </si>
  <si>
    <t>hp</t>
  </si>
  <si>
    <r>
      <t xml:space="preserve">Pump </t>
    </r>
    <r>
      <rPr>
        <vertAlign val="subscript"/>
        <sz val="11"/>
        <color theme="1"/>
        <rFont val="Calibri"/>
        <family val="2"/>
        <scheme val="minor"/>
      </rPr>
      <t>Efficiency</t>
    </r>
  </si>
  <si>
    <r>
      <t>P</t>
    </r>
    <r>
      <rPr>
        <vertAlign val="subscript"/>
        <sz val="11"/>
        <color theme="1"/>
        <rFont val="Calibri"/>
        <family val="2"/>
        <scheme val="minor"/>
      </rPr>
      <t>Eff</t>
    </r>
  </si>
  <si>
    <r>
      <t>PI=P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/P</t>
    </r>
    <r>
      <rPr>
        <vertAlign val="subscript"/>
        <sz val="11"/>
        <color theme="1"/>
        <rFont val="Calibri"/>
        <family val="2"/>
        <scheme val="minor"/>
      </rPr>
      <t>Eff</t>
    </r>
  </si>
  <si>
    <r>
      <t>(1") h</t>
    </r>
    <r>
      <rPr>
        <vertAlign val="subscript"/>
        <sz val="11"/>
        <color theme="1"/>
        <rFont val="Calibri"/>
        <family val="2"/>
        <scheme val="minor"/>
      </rPr>
      <t>L Pipe Bend 90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 xml:space="preserve">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Pipe Bend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</si>
  <si>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(1") h</t>
    </r>
    <r>
      <rPr>
        <vertAlign val="subscript"/>
        <sz val="11"/>
        <color theme="1"/>
        <rFont val="Calibri"/>
        <family val="2"/>
        <scheme val="minor"/>
      </rPr>
      <t xml:space="preserve">L Gate Valve 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Gate Valve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</si>
  <si>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t>3/4 Open</t>
  </si>
  <si>
    <t>1/2 Open</t>
  </si>
  <si>
    <t>1/4 Open</t>
  </si>
  <si>
    <t>Full Open</t>
  </si>
  <si>
    <r>
      <t>(3-2") h</t>
    </r>
    <r>
      <rPr>
        <vertAlign val="subscript"/>
        <sz val="11"/>
        <color theme="1"/>
        <rFont val="Calibri"/>
        <family val="2"/>
        <scheme val="minor"/>
      </rPr>
      <t xml:space="preserve">L Reduction 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 xml:space="preserve">Red 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</si>
  <si>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K</t>
    </r>
    <r>
      <rPr>
        <vertAlign val="subscript"/>
        <sz val="11"/>
        <color theme="1"/>
        <rFont val="Calibri"/>
        <family val="2"/>
        <scheme val="minor"/>
      </rPr>
      <t>red 3"-1"</t>
    </r>
  </si>
  <si>
    <r>
      <t>K</t>
    </r>
    <r>
      <rPr>
        <vertAlign val="subscript"/>
        <sz val="11"/>
        <color theme="1"/>
        <rFont val="Calibri"/>
        <family val="2"/>
        <scheme val="minor"/>
      </rPr>
      <t>Enlarge 1"-2"</t>
    </r>
  </si>
  <si>
    <r>
      <t>Part A              h</t>
    </r>
    <r>
      <rPr>
        <vertAlign val="subscript"/>
        <sz val="11"/>
        <color theme="1"/>
        <rFont val="Calibri"/>
        <family val="2"/>
        <scheme val="minor"/>
      </rPr>
      <t xml:space="preserve">L Total </t>
    </r>
    <r>
      <rPr>
        <sz val="11"/>
        <color theme="1"/>
        <rFont val="Calibri"/>
        <family val="2"/>
        <scheme val="minor"/>
      </rPr>
      <t xml:space="preserve">  (ft)    </t>
    </r>
  </si>
  <si>
    <r>
      <t>K</t>
    </r>
    <r>
      <rPr>
        <vertAlign val="subscript"/>
        <sz val="11"/>
        <color theme="1"/>
        <rFont val="Calibri"/>
        <family val="2"/>
        <scheme val="minor"/>
      </rPr>
      <t>red 4"/ 3"</t>
    </r>
  </si>
  <si>
    <t>velocity V=Q/A</t>
  </si>
  <si>
    <r>
      <t>Z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-Z1</t>
    </r>
  </si>
  <si>
    <r>
      <t>h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=(Z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- Z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)V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/2g</t>
    </r>
    <r>
      <rPr>
        <vertAlign val="subscript"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L</t>
    </r>
  </si>
  <si>
    <t>Part B</t>
  </si>
  <si>
    <r>
      <t>P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=h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YQ</t>
    </r>
  </si>
  <si>
    <t xml:space="preserve"> </t>
  </si>
  <si>
    <t>4"</t>
  </si>
  <si>
    <t>3"</t>
  </si>
  <si>
    <t>1"</t>
  </si>
  <si>
    <t>Pipe</t>
  </si>
  <si>
    <t>hL</t>
  </si>
  <si>
    <t>f Value</t>
  </si>
  <si>
    <r>
      <t xml:space="preserve">hL </t>
    </r>
    <r>
      <rPr>
        <vertAlign val="subscript"/>
        <sz val="11"/>
        <color theme="1"/>
        <rFont val="Calibri"/>
        <family val="2"/>
        <scheme val="minor"/>
      </rPr>
      <t>A-B</t>
    </r>
    <r>
      <rPr>
        <sz val="11"/>
        <color theme="1"/>
        <rFont val="Calibri"/>
        <family val="2"/>
        <scheme val="minor"/>
      </rPr>
      <t xml:space="preserve"> Total Branch 1</t>
    </r>
  </si>
  <si>
    <t>Z1</t>
  </si>
  <si>
    <t>Z2</t>
  </si>
  <si>
    <t>Delta Z</t>
  </si>
  <si>
    <t>Heights</t>
  </si>
  <si>
    <r>
      <t>Q  (ft^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</si>
  <si>
    <t>Q  (gpm)</t>
  </si>
  <si>
    <t>BRANCH 1</t>
  </si>
  <si>
    <t>BRANCH 2</t>
  </si>
  <si>
    <t>hL Branch 1 to Tee</t>
  </si>
  <si>
    <r>
      <t xml:space="preserve">hL </t>
    </r>
    <r>
      <rPr>
        <vertAlign val="subscript"/>
        <sz val="11"/>
        <color theme="1"/>
        <rFont val="Calibri"/>
        <family val="2"/>
        <scheme val="minor"/>
      </rPr>
      <t>A-B</t>
    </r>
    <r>
      <rPr>
        <sz val="11"/>
        <color theme="1"/>
        <rFont val="Calibri"/>
        <family val="2"/>
        <scheme val="minor"/>
      </rPr>
      <t xml:space="preserve"> Total Branch 2</t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</si>
  <si>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upper  (ft^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</si>
  <si>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lower (ft^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</si>
  <si>
    <r>
      <t>Conservation of Mass 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=Q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+Q</t>
    </r>
    <r>
      <rPr>
        <vertAlign val="subscript"/>
        <sz val="11"/>
        <color theme="1"/>
        <rFont val="Calibri"/>
        <family val="2"/>
        <scheme val="minor"/>
      </rPr>
      <t>2</t>
    </r>
  </si>
  <si>
    <t>Iteration</t>
  </si>
  <si>
    <t>Position</t>
  </si>
  <si>
    <t>K</t>
  </si>
  <si>
    <t>Closed</t>
  </si>
  <si>
    <t>LHS</t>
  </si>
  <si>
    <t>RHS</t>
  </si>
  <si>
    <t>% diff</t>
  </si>
  <si>
    <t>Don’t think I need</t>
  </si>
  <si>
    <t>Q gpm</t>
  </si>
  <si>
    <t>Unfortunately ran out of time, I don’t think I did this part correctly, could not get my right and side to add up correctly</t>
  </si>
  <si>
    <t>Q2</t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</si>
  <si>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</si>
  <si>
    <t>If "K" value was swapped in gate valve branch 2</t>
  </si>
  <si>
    <t>Branch 1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</si>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</sst>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0000"/>
    <numFmt numFmtId="167" formatCode="0.0000"/>
    <numFmt numFmtId="168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2" fontId="0" fillId="12" borderId="1" xfId="0" applyNumberFormat="1" applyFill="1" applyBorder="1" applyAlignment="1">
      <alignment horizontal="center" vertical="center"/>
    </xf>
    <xf numFmtId="167" fontId="0" fillId="7" borderId="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vertical="center" readingOrder="1"/>
    </xf>
    <xf numFmtId="0" fontId="6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168" fontId="0" fillId="13" borderId="1" xfId="0" applyNumberForma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4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164" fontId="0" fillId="14" borderId="1" xfId="0" applyNumberFormat="1" applyFill="1" applyBorder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164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7" borderId="19" xfId="0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9" borderId="29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2" fontId="0" fillId="12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2" fontId="0" fillId="12" borderId="14" xfId="0" applyNumberFormat="1" applyFill="1" applyBorder="1" applyAlignment="1">
      <alignment horizontal="center" vertical="center" wrapText="1"/>
    </xf>
    <xf numFmtId="2" fontId="0" fillId="7" borderId="14" xfId="0" applyNumberForma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14" borderId="2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95250</xdr:colOff>
      <xdr:row>1</xdr:row>
      <xdr:rowOff>19050</xdr:rowOff>
    </xdr:from>
    <xdr:ext cx="1408270" cy="5309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705600" y="209550"/>
              <a:ext cx="1408270" cy="530979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sSubPr>
                      <m:e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  <m:t>𝑇</m:t>
                        </m:r>
                      </m:sub>
                    </m:sSub>
                    <m:r>
                      <a:rPr kumimoji="0" lang="en-US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fPr>
                      <m:num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  <m:t>0.25</m:t>
                        </m:r>
                      </m:num>
                      <m:den>
                        <m:sSup>
                          <m:sSupPr>
                            <m:ctrlPr>
                              <a:rPr kumimoji="0" lang="en-US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Cambria Math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kumimoji="0" lang="en-US" sz="11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ysClr val="windowText" lastClr="000000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Cambria Math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kumimoji="0" lang="en-US" sz="1100" b="0" i="0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ysClr val="windowText" lastClr="000000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Cambria Math"/>
                                    <a:cs typeface="+mn-cs"/>
                                  </a:rPr>
                                  <m:t>log</m:t>
                                </m:r>
                                <m:d>
                                  <m:dPr>
                                    <m:ctrlPr>
                                      <a:rPr kumimoji="0" lang="en-US" sz="11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Cambria Math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  <m:t>1</m:t>
                                        </m:r>
                                      </m:num>
                                      <m:den>
                                        <m: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  <m:t>3.7</m:t>
                                        </m:r>
                                        <m:d>
                                          <m:dPr>
                                            <m:ctrlP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  <m:t>𝐷</m:t>
                                            </m:r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  <m:t>/</m:t>
                                            </m:r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𝜀</m:t>
                                            </m:r>
                                          </m:e>
                                        </m:d>
                                      </m:den>
                                    </m:f>
                                  </m:e>
                                </m:d>
                              </m:e>
                            </m:d>
                          </m:e>
                          <m:sup>
                            <m:r>
                              <a:rPr kumimoji="0" lang="en-US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Cambria Math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EF1B1B3-C374-4DB5-B2D1-4F8BCA8DC034}"/>
                </a:ext>
              </a:extLst>
            </xdr:cNvPr>
            <xdr:cNvSpPr txBox="1"/>
          </xdr:nvSpPr>
          <xdr:spPr>
            <a:xfrm>
              <a:off x="6705600" y="209550"/>
              <a:ext cx="1408270" cy="530979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/>
                  <a:cs typeface="+mn-cs"/>
                </a:rPr>
                <a:t>𝑓_𝑇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=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/>
                  <a:cs typeface="+mn-cs"/>
                </a:rPr>
                <a:t>0.25/[log(1/3.7(𝐷/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𝜀) )]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/>
                  <a:cs typeface="+mn-cs"/>
                </a:rPr>
                <a:t>^2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323850</xdr:colOff>
      <xdr:row>1</xdr:row>
      <xdr:rowOff>28575</xdr:rowOff>
    </xdr:from>
    <xdr:ext cx="56855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7591425" y="219075"/>
              <a:ext cx="568554" cy="315792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𝑉𝐷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𝜈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F6D492D-E1F3-4C33-A7BB-3A8693049DE4}"/>
                </a:ext>
              </a:extLst>
            </xdr:cNvPr>
            <xdr:cNvSpPr txBox="1"/>
          </xdr:nvSpPr>
          <xdr:spPr>
            <a:xfrm>
              <a:off x="7591425" y="219075"/>
              <a:ext cx="568554" cy="315792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𝑅𝑒=𝑉𝐷/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𝜈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38100</xdr:colOff>
      <xdr:row>1</xdr:row>
      <xdr:rowOff>19050</xdr:rowOff>
    </xdr:from>
    <xdr:ext cx="1836079" cy="5316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819650" y="209550"/>
              <a:ext cx="1836079" cy="53162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en-US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Cambria Math"/>
                        <a:cs typeface="+mn-cs"/>
                      </a:rPr>
                      <m:t>𝑓</m:t>
                    </m:r>
                    <m:r>
                      <a:rPr kumimoji="0" lang="en-US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fPr>
                      <m:num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  <m:t>0.25</m:t>
                        </m:r>
                      </m:num>
                      <m:den>
                        <m:sSup>
                          <m:sSupPr>
                            <m:ctrlPr>
                              <a:rPr kumimoji="0" lang="en-US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Cambria Math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kumimoji="0" lang="en-US" sz="11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ysClr val="windowText" lastClr="000000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Cambria Math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kumimoji="0" lang="en-US" sz="1100" b="0" i="0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ysClr val="windowText" lastClr="000000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Cambria Math"/>
                                    <a:cs typeface="+mn-cs"/>
                                  </a:rPr>
                                  <m:t>log</m:t>
                                </m:r>
                                <m:d>
                                  <m:dPr>
                                    <m:ctrlPr>
                                      <a:rPr kumimoji="0" lang="en-US" sz="11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Cambria Math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  <m:t>1</m:t>
                                        </m:r>
                                      </m:num>
                                      <m:den>
                                        <m: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  <m:t>3.7</m:t>
                                        </m:r>
                                        <m:d>
                                          <m:dPr>
                                            <m:ctrlP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  <m:t>𝐷</m:t>
                                            </m:r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  <m:t>/</m:t>
                                            </m:r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𝜀</m:t>
                                            </m:r>
                                          </m:e>
                                        </m:d>
                                      </m:den>
                                    </m:f>
                                    <m:r>
                                      <a:rPr kumimoji="0" lang="en-US" sz="11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Cambria Math"/>
                                        <a:cs typeface="+mn-cs"/>
                                      </a:rPr>
                                      <m:t>+</m:t>
                                    </m:r>
                                    <m:f>
                                      <m:fPr>
                                        <m:ctrlP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0" lang="en-US" sz="11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Cambria Math"/>
                                            <a:cs typeface="+mn-cs"/>
                                          </a:rPr>
                                          <m:t>5.74</m:t>
                                        </m:r>
                                      </m:num>
                                      <m:den>
                                        <m:sSup>
                                          <m:sSupPr>
                                            <m:ctrlP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  <m:t>𝑅𝑒</m:t>
                                            </m:r>
                                          </m:e>
                                          <m:sup>
                                            <m:r>
                                              <a:rPr kumimoji="0" lang="en-US" sz="1100" b="0" i="1" u="none" strike="noStrike" kern="0" cap="none" spc="0" normalizeH="0" baseline="0" noProof="0">
                                                <a:ln>
                                                  <a:noFill/>
                                                </a:ln>
                                                <a:solidFill>
                                                  <a:sysClr val="windowText" lastClr="000000"/>
                                                </a:solidFill>
                                                <a:effectLst/>
                                                <a:uLnTx/>
                                                <a:uFillTx/>
                                                <a:latin typeface="Cambria Math" panose="02040503050406030204" pitchFamily="18" charset="0"/>
                                                <a:ea typeface="Cambria Math"/>
                                                <a:cs typeface="+mn-cs"/>
                                              </a:rPr>
                                              <m:t>0.9</m:t>
                                            </m:r>
                                          </m:sup>
                                        </m:sSup>
                                      </m:den>
                                    </m:f>
                                  </m:e>
                                </m:d>
                              </m:e>
                            </m:d>
                          </m:e>
                          <m:sup>
                            <m:r>
                              <a:rPr kumimoji="0" lang="en-US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Cambria Math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6A9EA4C-078F-4E32-96DF-AAFBBBDD6246}"/>
                </a:ext>
              </a:extLst>
            </xdr:cNvPr>
            <xdr:cNvSpPr txBox="1"/>
          </xdr:nvSpPr>
          <xdr:spPr>
            <a:xfrm>
              <a:off x="4819650" y="209550"/>
              <a:ext cx="1836079" cy="53162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/>
                  <a:cs typeface="+mn-cs"/>
                </a:rPr>
                <a:t>𝑓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=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/>
                  <a:cs typeface="+mn-cs"/>
                </a:rPr>
                <a:t>0.25/[log(1/3.7(𝐷/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𝜀) 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/>
                  <a:cs typeface="+mn-cs"/>
                </a:rPr>
                <a:t>+5.74/〖𝑅𝑒〗^0.9 )]^2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104775</xdr:colOff>
      <xdr:row>3</xdr:row>
      <xdr:rowOff>180975</xdr:rowOff>
    </xdr:from>
    <xdr:ext cx="2464136" cy="372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495925" y="800100"/>
              <a:ext cx="2464136" cy="372025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r>
                          <a:rPr lang="en-US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𝑣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𝑔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𝑣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𝑔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01DC18D-2B19-452A-B0B2-036E0FEE9DF8}"/>
                </a:ext>
              </a:extLst>
            </xdr:cNvPr>
            <xdr:cNvSpPr txBox="1"/>
          </xdr:nvSpPr>
          <xdr:spPr>
            <a:xfrm>
              <a:off x="5495925" y="800100"/>
              <a:ext cx="2464136" cy="372025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𝑝_1/</a:t>
              </a:r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</a:t>
              </a:r>
              <a:r>
                <a:rPr lang="en-US" sz="1100" b="0" i="0">
                  <a:latin typeface="Cambria Math" panose="02040503050406030204" pitchFamily="18" charset="0"/>
                </a:rPr>
                <a:t>+𝑧_1+(𝑣_1^2)/2𝑔−ℎ_𝐿+ℎ_𝐴=𝑝_2/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</a:t>
              </a:r>
              <a:r>
                <a:rPr lang="en-US" sz="1100" b="0" i="0">
                  <a:latin typeface="Cambria Math" panose="02040503050406030204" pitchFamily="18" charset="0"/>
                </a:rPr>
                <a:t>+𝑧_2+(𝑣_2^2)/2𝑔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7</xdr:col>
      <xdr:colOff>180975</xdr:colOff>
      <xdr:row>5</xdr:row>
      <xdr:rowOff>219075</xdr:rowOff>
    </xdr:from>
    <xdr:to>
      <xdr:col>8</xdr:col>
      <xdr:colOff>418994</xdr:colOff>
      <xdr:row>7</xdr:row>
      <xdr:rowOff>47589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1295400"/>
          <a:ext cx="847619" cy="28571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542925</xdr:colOff>
      <xdr:row>6</xdr:row>
      <xdr:rowOff>0</xdr:rowOff>
    </xdr:from>
    <xdr:to>
      <xdr:col>10</xdr:col>
      <xdr:colOff>190392</xdr:colOff>
      <xdr:row>7</xdr:row>
      <xdr:rowOff>47590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1304925"/>
          <a:ext cx="866667" cy="27619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152401</xdr:colOff>
      <xdr:row>7</xdr:row>
      <xdr:rowOff>171450</xdr:rowOff>
    </xdr:from>
    <xdr:to>
      <xdr:col>10</xdr:col>
      <xdr:colOff>581025</xdr:colOff>
      <xdr:row>9</xdr:row>
      <xdr:rowOff>56483</xdr:rowOff>
    </xdr:to>
    <xdr:pic>
      <xdr:nvPicPr>
        <xdr:cNvPr id="11" name="Picture 10" descr="14 | ad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1" y="1704975"/>
          <a:ext cx="2257424" cy="34223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</xdr:colOff>
      <xdr:row>10</xdr:row>
      <xdr:rowOff>219076</xdr:rowOff>
    </xdr:from>
    <xdr:to>
      <xdr:col>11</xdr:col>
      <xdr:colOff>228600</xdr:colOff>
      <xdr:row>35</xdr:row>
      <xdr:rowOff>12186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1135"/>
        <a:stretch/>
      </xdr:blipFill>
      <xdr:spPr>
        <a:xfrm>
          <a:off x="4181475" y="2438401"/>
          <a:ext cx="4438650" cy="501281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98</xdr:row>
          <xdr:rowOff>180975</xdr:rowOff>
        </xdr:from>
        <xdr:to>
          <xdr:col>1</xdr:col>
          <xdr:colOff>1181100</xdr:colOff>
          <xdr:row>101</xdr:row>
          <xdr:rowOff>57150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99</xdr:row>
          <xdr:rowOff>38100</xdr:rowOff>
        </xdr:from>
        <xdr:to>
          <xdr:col>3</xdr:col>
          <xdr:colOff>295275</xdr:colOff>
          <xdr:row>101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95</xdr:row>
          <xdr:rowOff>38100</xdr:rowOff>
        </xdr:from>
        <xdr:to>
          <xdr:col>7</xdr:col>
          <xdr:colOff>581025</xdr:colOff>
          <xdr:row>97</xdr:row>
          <xdr:rowOff>76200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140</xdr:row>
          <xdr:rowOff>76200</xdr:rowOff>
        </xdr:from>
        <xdr:to>
          <xdr:col>0</xdr:col>
          <xdr:colOff>971550</xdr:colOff>
          <xdr:row>142</xdr:row>
          <xdr:rowOff>114300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  <xdr:twoCellAnchor editAs="oneCell">
    <xdr:from>
      <xdr:col>6</xdr:col>
      <xdr:colOff>459442</xdr:colOff>
      <xdr:row>111</xdr:row>
      <xdr:rowOff>67235</xdr:rowOff>
    </xdr:from>
    <xdr:to>
      <xdr:col>14</xdr:col>
      <xdr:colOff>19611</xdr:colOff>
      <xdr:row>131</xdr:row>
      <xdr:rowOff>106874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1135"/>
        <a:stretch/>
      </xdr:blipFill>
      <xdr:spPr>
        <a:xfrm>
          <a:off x="5782236" y="26625176"/>
          <a:ext cx="4412316" cy="503746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142</xdr:row>
          <xdr:rowOff>133350</xdr:rowOff>
        </xdr:from>
        <xdr:to>
          <xdr:col>0</xdr:col>
          <xdr:colOff>952500</xdr:colOff>
          <xdr:row>145</xdr:row>
          <xdr:rowOff>180975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  <xdr:twoCellAnchor editAs="oneCell">
    <xdr:from>
      <xdr:col>6</xdr:col>
      <xdr:colOff>156883</xdr:colOff>
      <xdr:row>149</xdr:row>
      <xdr:rowOff>78441</xdr:rowOff>
    </xdr:from>
    <xdr:to>
      <xdr:col>15</xdr:col>
      <xdr:colOff>156761</xdr:colOff>
      <xdr:row>169</xdr:row>
      <xdr:rowOff>78936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79677" y="35556265"/>
          <a:ext cx="5457143" cy="5009524"/>
        </a:xfrm>
        <a:prstGeom prst="rect">
          <a:avLst/>
        </a:prstGeom>
      </xdr:spPr>
    </xdr:pic>
    <xdr:clientData/>
  </xdr:twoCellAnchor>
  <xdr:twoCellAnchor>
    <xdr:from>
      <xdr:col>7</xdr:col>
      <xdr:colOff>392205</xdr:colOff>
      <xdr:row>166</xdr:row>
      <xdr:rowOff>347383</xdr:rowOff>
    </xdr:from>
    <xdr:to>
      <xdr:col>8</xdr:col>
      <xdr:colOff>0</xdr:colOff>
      <xdr:row>168</xdr:row>
      <xdr:rowOff>11207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320117" y="40094648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141194</xdr:colOff>
      <xdr:row>167</xdr:row>
      <xdr:rowOff>141195</xdr:rowOff>
    </xdr:from>
    <xdr:to>
      <xdr:col>8</xdr:col>
      <xdr:colOff>354106</xdr:colOff>
      <xdr:row>168</xdr:row>
      <xdr:rowOff>163607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74223" y="40247048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517712</xdr:colOff>
      <xdr:row>167</xdr:row>
      <xdr:rowOff>114300</xdr:rowOff>
    </xdr:from>
    <xdr:to>
      <xdr:col>10</xdr:col>
      <xdr:colOff>125506</xdr:colOff>
      <xdr:row>168</xdr:row>
      <xdr:rowOff>136712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655859" y="40220153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412377</xdr:colOff>
      <xdr:row>155</xdr:row>
      <xdr:rowOff>8965</xdr:rowOff>
    </xdr:from>
    <xdr:to>
      <xdr:col>11</xdr:col>
      <xdr:colOff>20172</xdr:colOff>
      <xdr:row>156</xdr:row>
      <xdr:rowOff>31377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155642" y="37122847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38101</xdr:colOff>
      <xdr:row>154</xdr:row>
      <xdr:rowOff>329453</xdr:rowOff>
    </xdr:from>
    <xdr:to>
      <xdr:col>14</xdr:col>
      <xdr:colOff>251013</xdr:colOff>
      <xdr:row>156</xdr:row>
      <xdr:rowOff>4483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201836" y="37095953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407895</xdr:colOff>
      <xdr:row>153</xdr:row>
      <xdr:rowOff>94129</xdr:rowOff>
    </xdr:from>
    <xdr:to>
      <xdr:col>11</xdr:col>
      <xdr:colOff>15690</xdr:colOff>
      <xdr:row>154</xdr:row>
      <xdr:rowOff>116541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8151160" y="36670129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11207</xdr:colOff>
      <xdr:row>153</xdr:row>
      <xdr:rowOff>123264</xdr:rowOff>
    </xdr:from>
    <xdr:to>
      <xdr:col>14</xdr:col>
      <xdr:colOff>224119</xdr:colOff>
      <xdr:row>154</xdr:row>
      <xdr:rowOff>145676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174942" y="36699264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484094</xdr:colOff>
      <xdr:row>168</xdr:row>
      <xdr:rowOff>181536</xdr:rowOff>
    </xdr:from>
    <xdr:to>
      <xdr:col>9</xdr:col>
      <xdr:colOff>91888</xdr:colOff>
      <xdr:row>169</xdr:row>
      <xdr:rowOff>203948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017123" y="40477889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457199</xdr:colOff>
      <xdr:row>155</xdr:row>
      <xdr:rowOff>20172</xdr:rowOff>
    </xdr:from>
    <xdr:to>
      <xdr:col>12</xdr:col>
      <xdr:colOff>64993</xdr:colOff>
      <xdr:row>156</xdr:row>
      <xdr:rowOff>42584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8805581" y="37134054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228598</xdr:colOff>
      <xdr:row>154</xdr:row>
      <xdr:rowOff>251012</xdr:rowOff>
    </xdr:from>
    <xdr:to>
      <xdr:col>12</xdr:col>
      <xdr:colOff>441510</xdr:colOff>
      <xdr:row>155</xdr:row>
      <xdr:rowOff>116542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182098" y="37017512"/>
          <a:ext cx="212912" cy="212912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175</xdr:row>
          <xdr:rowOff>76200</xdr:rowOff>
        </xdr:from>
        <xdr:to>
          <xdr:col>0</xdr:col>
          <xdr:colOff>971550</xdr:colOff>
          <xdr:row>177</xdr:row>
          <xdr:rowOff>114300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177</xdr:row>
          <xdr:rowOff>133350</xdr:rowOff>
        </xdr:from>
        <xdr:to>
          <xdr:col>0</xdr:col>
          <xdr:colOff>952500</xdr:colOff>
          <xdr:row>180</xdr:row>
          <xdr:rowOff>152400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  <xdr:twoCellAnchor>
    <xdr:from>
      <xdr:col>10</xdr:col>
      <xdr:colOff>168087</xdr:colOff>
      <xdr:row>184</xdr:row>
      <xdr:rowOff>44824</xdr:rowOff>
    </xdr:from>
    <xdr:to>
      <xdr:col>13</xdr:col>
      <xdr:colOff>124580</xdr:colOff>
      <xdr:row>186</xdr:row>
      <xdr:rowOff>40575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12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7911352" y="43680530"/>
              <a:ext cx="1783052" cy="41036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%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diff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LHS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RHS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100">
                            <a:latin typeface="Cambria Math" panose="02040503050406030204" pitchFamily="18" charset="0"/>
                          </a:rPr>
                          <m:t>LHS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en-US" sz="1100" baseline="-25000">
                <a:ea typeface="Cambria Math"/>
              </a:endParaRPr>
            </a:p>
          </xdr:txBody>
        </xdr:sp>
      </mc:Choice>
      <mc:Fallback xmlns="">
        <xdr:sp macro="" textlink="">
          <xdr:nvSpPr>
            <xdr:cNvPr id="41" name="TextBox 12">
              <a:extLst>
                <a:ext uri="{FF2B5EF4-FFF2-40B4-BE49-F238E27FC236}">
                  <a16:creationId xmlns:a16="http://schemas.microsoft.com/office/drawing/2014/main" id="{9AE2AA82-09B5-49F9-A777-B65D131B8477}"/>
                </a:ext>
              </a:extLst>
            </xdr:cNvPr>
            <xdr:cNvSpPr txBox="1"/>
          </xdr:nvSpPr>
          <xdr:spPr>
            <a:xfrm>
              <a:off x="7911352" y="43680530"/>
              <a:ext cx="1783052" cy="41036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%diff=(LHS−RHS)/</a:t>
              </a:r>
              <a:r>
                <a:rPr lang="en-US" sz="1100" i="0">
                  <a:latin typeface="Cambria Math" panose="02040503050406030204" pitchFamily="18" charset="0"/>
                </a:rPr>
                <a:t>LHS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×100</a:t>
              </a:r>
              <a:endParaRPr lang="en-US" sz="1100" baseline="-2500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10</xdr:col>
      <xdr:colOff>78441</xdr:colOff>
      <xdr:row>185</xdr:row>
      <xdr:rowOff>156881</xdr:rowOff>
    </xdr:from>
    <xdr:to>
      <xdr:col>13</xdr:col>
      <xdr:colOff>253426</xdr:colOff>
      <xdr:row>188</xdr:row>
      <xdr:rowOff>175716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26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7821706" y="43983087"/>
              <a:ext cx="2001544" cy="62395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  <a:ea typeface="Cambria Math"/>
                      </a:rPr>
                      <m:t>𝑓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  <m:t>0.25</m:t>
                        </m:r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  <a:ea typeface="Cambria Math"/>
                                  </a:rPr>
                                  <m:t>log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  <a:ea typeface="Cambria Math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latin typeface="Cambria Math" panose="02040503050406030204" pitchFamily="18" charset="0"/>
                                            <a:ea typeface="Cambria Math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n-US" sz="1100" b="0" i="1">
                                            <a:latin typeface="Cambria Math" panose="02040503050406030204" pitchFamily="18" charset="0"/>
                                            <a:ea typeface="Cambria Math"/>
                                          </a:rPr>
                                          <m:t>1</m:t>
                                        </m:r>
                                      </m:num>
                                      <m:den>
                                        <m:r>
                                          <a:rPr lang="en-US" sz="1100" b="0" i="1">
                                            <a:latin typeface="Cambria Math" panose="02040503050406030204" pitchFamily="18" charset="0"/>
                                            <a:ea typeface="Cambria Math"/>
                                          </a:rPr>
                                          <m:t>3.7</m:t>
                                        </m:r>
                                        <m:d>
                                          <m:dPr>
                                            <m:ctrlPr>
                                              <a:rPr lang="en-US" sz="1100" b="0" i="1">
                                                <a:latin typeface="Cambria Math" panose="02040503050406030204" pitchFamily="18" charset="0"/>
                                                <a:ea typeface="Cambria Math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US" sz="1100" b="0" i="1">
                                                <a:latin typeface="Cambria Math" panose="02040503050406030204" pitchFamily="18" charset="0"/>
                                                <a:ea typeface="Cambria Math"/>
                                              </a:rPr>
                                              <m:t>𝐷</m:t>
                                            </m:r>
                                            <m:r>
                                              <a:rPr lang="en-US" sz="1100" b="0" i="1">
                                                <a:latin typeface="Cambria Math" panose="02040503050406030204" pitchFamily="18" charset="0"/>
                                                <a:ea typeface="Cambria Math"/>
                                              </a:rPr>
                                              <m:t>/</m:t>
                                            </m:r>
                                            <m:r>
                                              <a:rPr lang="en-US" sz="1100" b="0" i="1"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</a:rPr>
                                              <m:t>𝜀</m:t>
                                            </m:r>
                                          </m:e>
                                        </m:d>
                                      </m:den>
                                    </m:f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  <a:ea typeface="Cambria Math"/>
                                      </a:rPr>
                                      <m:t>+</m:t>
                                    </m:r>
                                    <m:f>
                                      <m:fPr>
                                        <m:ctrlPr>
                                          <a:rPr lang="en-US" sz="1100" b="0" i="1">
                                            <a:latin typeface="Cambria Math" panose="02040503050406030204" pitchFamily="18" charset="0"/>
                                            <a:ea typeface="Cambria Math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n-US" sz="1100" b="0" i="1">
                                            <a:latin typeface="Cambria Math" panose="02040503050406030204" pitchFamily="18" charset="0"/>
                                            <a:ea typeface="Cambria Math"/>
                                          </a:rPr>
                                          <m:t>5.74</m:t>
                                        </m:r>
                                      </m:num>
                                      <m:den>
                                        <m:sSup>
                                          <m:sSupPr>
                                            <m:ctrlPr>
                                              <a:rPr lang="en-US" sz="1100" b="0" i="1">
                                                <a:latin typeface="Cambria Math" panose="02040503050406030204" pitchFamily="18" charset="0"/>
                                                <a:ea typeface="Cambria Math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en-US" sz="1100" b="0" i="1">
                                                <a:latin typeface="Cambria Math" panose="02040503050406030204" pitchFamily="18" charset="0"/>
                                                <a:ea typeface="Cambria Math"/>
                                              </a:rPr>
                                              <m:t>𝑅𝑒</m:t>
                                            </m:r>
                                          </m:e>
                                          <m:sup>
                                            <m:r>
                                              <a:rPr lang="en-US" sz="1100" b="0" i="1">
                                                <a:latin typeface="Cambria Math" panose="02040503050406030204" pitchFamily="18" charset="0"/>
                                                <a:ea typeface="Cambria Math"/>
                                              </a:rPr>
                                              <m:t>0.9</m:t>
                                            </m:r>
                                          </m:sup>
                                        </m:sSup>
                                      </m:den>
                                    </m:f>
                                  </m:e>
                                </m:d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VE" sz="1100"/>
            </a:p>
          </xdr:txBody>
        </xdr:sp>
      </mc:Choice>
      <mc:Fallback xmlns="">
        <xdr:sp macro="" textlink="">
          <xdr:nvSpPr>
            <xdr:cNvPr id="42" name="TextBox 26">
              <a:extLst>
                <a:ext uri="{FF2B5EF4-FFF2-40B4-BE49-F238E27FC236}">
                  <a16:creationId xmlns:a16="http://schemas.microsoft.com/office/drawing/2014/main" id="{04BB3224-0B8F-4D8D-9FB7-62A34F59FCD8}"/>
                </a:ext>
              </a:extLst>
            </xdr:cNvPr>
            <xdr:cNvSpPr txBox="1"/>
          </xdr:nvSpPr>
          <xdr:spPr>
            <a:xfrm>
              <a:off x="7821706" y="43983087"/>
              <a:ext cx="2001544" cy="62395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𝑓</a:t>
              </a:r>
              <a:r>
                <a:rPr lang="en-US" sz="1100" b="0" i="0">
                  <a:latin typeface="Cambria Math"/>
                  <a:ea typeface="Cambria Math"/>
                </a:rPr>
                <a:t>=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0.25/[log(1/3.7(𝐷/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𝜀) 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+5.74/〖𝑅𝑒〗^0.9 )]^2 </a:t>
              </a:r>
              <a:endParaRPr lang="es-VE" sz="1100"/>
            </a:p>
          </xdr:txBody>
        </xdr:sp>
      </mc:Fallback>
    </mc:AlternateContent>
    <xdr:clientData/>
  </xdr:twoCellAnchor>
  <xdr:twoCellAnchor editAs="oneCell">
    <xdr:from>
      <xdr:col>7</xdr:col>
      <xdr:colOff>134471</xdr:colOff>
      <xdr:row>175</xdr:row>
      <xdr:rowOff>1</xdr:rowOff>
    </xdr:from>
    <xdr:to>
      <xdr:col>15</xdr:col>
      <xdr:colOff>448236</xdr:colOff>
      <xdr:row>178</xdr:row>
      <xdr:rowOff>88298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62383" y="41887589"/>
          <a:ext cx="5165912" cy="65979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140316</xdr:colOff>
      <xdr:row>179</xdr:row>
      <xdr:rowOff>27285</xdr:rowOff>
    </xdr:from>
    <xdr:to>
      <xdr:col>11</xdr:col>
      <xdr:colOff>185140</xdr:colOff>
      <xdr:row>184</xdr:row>
      <xdr:rowOff>39025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12077" y="42757263"/>
          <a:ext cx="2496476" cy="100565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145676</xdr:colOff>
      <xdr:row>171</xdr:row>
      <xdr:rowOff>95917</xdr:rowOff>
    </xdr:from>
    <xdr:to>
      <xdr:col>15</xdr:col>
      <xdr:colOff>470647</xdr:colOff>
      <xdr:row>174</xdr:row>
      <xdr:rowOff>129328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325"/>
        <a:stretch/>
      </xdr:blipFill>
      <xdr:spPr>
        <a:xfrm>
          <a:off x="6117437" y="41169374"/>
          <a:ext cx="5236558" cy="73743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image" Target="../media/image4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0742-65BE-47AC-B096-3FD778B6C0E0}">
  <dimension ref="A1:T199"/>
  <sheetViews>
    <sheetView tabSelected="1" zoomScaleNormal="100" workbookViewId="0">
      <selection activeCell="K199" sqref="K199"/>
    </sheetView>
  </sheetViews>
  <sheetFormatPr defaultRowHeight="15" x14ac:dyDescent="0.25"/>
  <cols>
    <col min="1" max="1" width="19.7109375" style="1" customWidth="1"/>
    <col min="2" max="2" width="20.5703125" style="1" customWidth="1"/>
    <col min="3" max="3" width="12" style="1" customWidth="1"/>
    <col min="4" max="4" width="9.140625" style="1" customWidth="1"/>
    <col min="5" max="5" width="9.140625" style="1"/>
    <col min="6" max="6" width="9.5703125" style="1" bestFit="1" customWidth="1"/>
    <col min="7" max="8" width="9.140625" style="1"/>
    <col min="9" max="9" width="9.140625" style="1" customWidth="1"/>
    <col min="10" max="12" width="9.140625" style="1"/>
    <col min="13" max="13" width="9.28515625" style="1" bestFit="1" customWidth="1"/>
    <col min="14" max="16384" width="9.140625" style="1"/>
  </cols>
  <sheetData>
    <row r="1" spans="1:15" x14ac:dyDescent="0.25">
      <c r="A1" s="116" t="s">
        <v>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  <c r="M1" s="118"/>
      <c r="N1" s="118"/>
      <c r="O1" s="119"/>
    </row>
    <row r="2" spans="1:15" ht="15.75" thickBot="1" x14ac:dyDescent="0.3">
      <c r="A2" s="19" t="s">
        <v>15</v>
      </c>
      <c r="B2" s="20" t="s">
        <v>1</v>
      </c>
      <c r="C2" s="21" t="s">
        <v>2</v>
      </c>
      <c r="D2" s="22" t="s">
        <v>3</v>
      </c>
      <c r="E2" s="15" t="s">
        <v>2</v>
      </c>
      <c r="F2" s="16" t="s">
        <v>3</v>
      </c>
      <c r="G2" s="2"/>
      <c r="H2" s="2"/>
      <c r="I2" s="2"/>
      <c r="J2" s="2"/>
      <c r="K2" s="2"/>
      <c r="L2" s="2"/>
      <c r="M2" s="2"/>
      <c r="N2" s="2"/>
      <c r="O2" s="56"/>
    </row>
    <row r="3" spans="1:15" ht="18" thickBot="1" x14ac:dyDescent="0.3">
      <c r="A3" s="26" t="s">
        <v>32</v>
      </c>
      <c r="B3" s="27" t="s">
        <v>14</v>
      </c>
      <c r="C3" s="32">
        <v>0.612703</v>
      </c>
      <c r="D3" s="28" t="s">
        <v>7</v>
      </c>
      <c r="E3" s="17">
        <v>275</v>
      </c>
      <c r="F3" s="4" t="s">
        <v>33</v>
      </c>
      <c r="G3" s="2"/>
      <c r="H3" s="2"/>
      <c r="I3" s="2"/>
      <c r="J3" s="2"/>
      <c r="K3" s="2"/>
      <c r="L3" s="2"/>
      <c r="M3" s="2"/>
      <c r="N3" s="2"/>
      <c r="O3" s="56"/>
    </row>
    <row r="4" spans="1:15" ht="18" x14ac:dyDescent="0.25">
      <c r="A4" s="104" t="s">
        <v>34</v>
      </c>
      <c r="B4" s="52" t="s">
        <v>36</v>
      </c>
      <c r="C4" s="12">
        <v>0.5</v>
      </c>
      <c r="D4" s="13" t="s">
        <v>40</v>
      </c>
      <c r="E4" s="2"/>
      <c r="F4" s="2"/>
      <c r="G4" s="2"/>
      <c r="H4" s="2"/>
      <c r="I4" s="2"/>
      <c r="J4" s="2"/>
      <c r="K4" s="2"/>
      <c r="L4" s="2"/>
      <c r="M4" s="2"/>
      <c r="N4" s="2"/>
      <c r="O4" s="56"/>
    </row>
    <row r="5" spans="1:15" ht="18" x14ac:dyDescent="0.25">
      <c r="A5" s="105"/>
      <c r="B5" s="3" t="s">
        <v>58</v>
      </c>
      <c r="C5" s="4">
        <v>30</v>
      </c>
      <c r="D5" s="8" t="s">
        <v>40</v>
      </c>
      <c r="E5" s="2"/>
      <c r="F5" s="2"/>
      <c r="G5" s="2"/>
      <c r="H5" s="2"/>
      <c r="I5" s="2"/>
      <c r="J5" s="2"/>
      <c r="K5" s="2"/>
      <c r="L5" s="2"/>
      <c r="M5" s="2"/>
      <c r="N5" s="2"/>
      <c r="O5" s="56"/>
    </row>
    <row r="6" spans="1:15" ht="18" x14ac:dyDescent="0.25">
      <c r="A6" s="105"/>
      <c r="B6" s="47" t="s">
        <v>35</v>
      </c>
      <c r="C6" s="48">
        <v>8</v>
      </c>
      <c r="D6" s="53" t="s">
        <v>40</v>
      </c>
      <c r="E6" s="51" t="s">
        <v>77</v>
      </c>
      <c r="F6" s="4">
        <v>8</v>
      </c>
      <c r="G6" s="4"/>
      <c r="H6" s="2"/>
      <c r="I6" s="2"/>
      <c r="J6" s="2"/>
      <c r="K6" s="2"/>
      <c r="L6" s="2"/>
      <c r="M6" s="2"/>
      <c r="N6" s="2"/>
      <c r="O6" s="56"/>
    </row>
    <row r="7" spans="1:15" ht="18" x14ac:dyDescent="0.25">
      <c r="A7" s="105"/>
      <c r="B7" s="3" t="s">
        <v>37</v>
      </c>
      <c r="C7" s="4">
        <v>100</v>
      </c>
      <c r="D7" s="8" t="s">
        <v>40</v>
      </c>
      <c r="E7" s="51" t="s">
        <v>74</v>
      </c>
      <c r="F7" s="4">
        <v>35</v>
      </c>
      <c r="G7" s="4"/>
      <c r="H7" s="2"/>
      <c r="I7" s="2"/>
      <c r="J7" s="2"/>
      <c r="K7" s="2"/>
      <c r="L7" s="2"/>
      <c r="M7" s="2"/>
      <c r="N7" s="2"/>
      <c r="O7" s="56"/>
    </row>
    <row r="8" spans="1:15" ht="18" x14ac:dyDescent="0.25">
      <c r="A8" s="105"/>
      <c r="B8" s="3" t="s">
        <v>39</v>
      </c>
      <c r="C8" s="4">
        <v>12</v>
      </c>
      <c r="D8" s="8" t="s">
        <v>40</v>
      </c>
      <c r="E8" s="51" t="s">
        <v>75</v>
      </c>
      <c r="F8" s="4">
        <v>160</v>
      </c>
      <c r="G8" s="4"/>
      <c r="H8" s="2"/>
      <c r="I8" s="2"/>
      <c r="J8" s="2"/>
      <c r="K8" s="2"/>
      <c r="L8" s="2"/>
      <c r="M8" s="2"/>
      <c r="N8" s="2"/>
      <c r="O8" s="56"/>
    </row>
    <row r="9" spans="1:15" s="14" customFormat="1" ht="18" x14ac:dyDescent="0.25">
      <c r="A9" s="106"/>
      <c r="B9" s="50" t="s">
        <v>38</v>
      </c>
      <c r="C9" s="29">
        <v>60</v>
      </c>
      <c r="D9" s="30" t="s">
        <v>40</v>
      </c>
      <c r="E9" s="51" t="s">
        <v>76</v>
      </c>
      <c r="F9" s="4">
        <v>900</v>
      </c>
      <c r="G9" s="4"/>
      <c r="H9" s="2"/>
      <c r="I9" s="2"/>
      <c r="J9" s="2"/>
      <c r="K9" s="57"/>
      <c r="L9" s="2"/>
      <c r="M9" s="2"/>
      <c r="N9" s="2"/>
      <c r="O9" s="56"/>
    </row>
    <row r="10" spans="1:15" s="14" customFormat="1" ht="18" x14ac:dyDescent="0.25">
      <c r="A10" s="106"/>
      <c r="B10" s="55" t="s">
        <v>82</v>
      </c>
      <c r="C10" s="29" t="s">
        <v>4</v>
      </c>
      <c r="D10" s="30" t="s">
        <v>4</v>
      </c>
      <c r="E10" s="2"/>
      <c r="F10" s="2"/>
      <c r="G10" s="2"/>
      <c r="H10" s="2"/>
      <c r="I10" s="2"/>
      <c r="J10" s="2"/>
      <c r="K10" s="57"/>
      <c r="L10" s="2"/>
      <c r="M10" s="2"/>
      <c r="N10" s="2"/>
      <c r="O10" s="56"/>
    </row>
    <row r="11" spans="1:15" s="14" customFormat="1" ht="18" x14ac:dyDescent="0.25">
      <c r="A11" s="106"/>
      <c r="B11" s="4" t="s">
        <v>79</v>
      </c>
      <c r="C11" s="29" t="s">
        <v>4</v>
      </c>
      <c r="D11" s="30" t="s">
        <v>4</v>
      </c>
      <c r="E11" s="2"/>
      <c r="F11" s="2"/>
      <c r="G11" s="2"/>
      <c r="H11" s="2"/>
      <c r="I11" s="2"/>
      <c r="J11" s="2"/>
      <c r="K11" s="57"/>
      <c r="L11" s="2"/>
      <c r="M11" s="2"/>
      <c r="N11" s="2"/>
      <c r="O11" s="56"/>
    </row>
    <row r="12" spans="1:15" ht="18.75" thickBot="1" x14ac:dyDescent="0.3">
      <c r="A12" s="107"/>
      <c r="B12" s="54" t="s">
        <v>80</v>
      </c>
      <c r="C12" s="9" t="s">
        <v>4</v>
      </c>
      <c r="D12" s="11" t="s">
        <v>4</v>
      </c>
      <c r="E12" s="2"/>
      <c r="F12" s="2"/>
      <c r="G12" s="2"/>
      <c r="H12" s="2"/>
      <c r="I12" s="2"/>
      <c r="J12" s="2"/>
      <c r="K12" s="57"/>
      <c r="L12" s="2"/>
      <c r="M12" s="2"/>
      <c r="N12" s="2"/>
      <c r="O12" s="56"/>
    </row>
    <row r="13" spans="1:15" ht="17.25" x14ac:dyDescent="0.25">
      <c r="A13" s="120" t="s">
        <v>31</v>
      </c>
      <c r="B13" s="23" t="s">
        <v>16</v>
      </c>
      <c r="C13" s="7">
        <v>61</v>
      </c>
      <c r="D13" s="24" t="s">
        <v>19</v>
      </c>
      <c r="E13" s="2"/>
      <c r="F13" s="2"/>
      <c r="G13" s="2"/>
      <c r="H13" s="2"/>
      <c r="I13" s="2"/>
      <c r="J13" s="2"/>
      <c r="K13" s="57"/>
      <c r="L13" s="2"/>
      <c r="M13" s="2"/>
      <c r="N13" s="2"/>
      <c r="O13" s="56"/>
    </row>
    <row r="14" spans="1:15" ht="17.25" x14ac:dyDescent="0.25">
      <c r="A14" s="120"/>
      <c r="B14" s="5" t="s">
        <v>25</v>
      </c>
      <c r="C14" s="4">
        <v>1.9</v>
      </c>
      <c r="D14" s="8" t="s">
        <v>20</v>
      </c>
      <c r="E14" s="2"/>
      <c r="F14" s="2"/>
      <c r="G14" s="2"/>
      <c r="H14" s="2"/>
      <c r="I14" s="2"/>
      <c r="J14" s="2"/>
      <c r="K14" s="57"/>
      <c r="L14" s="2"/>
      <c r="M14" s="2"/>
      <c r="N14" s="2"/>
      <c r="O14" s="56"/>
    </row>
    <row r="15" spans="1:15" ht="17.25" x14ac:dyDescent="0.25">
      <c r="A15" s="120"/>
      <c r="B15" s="4" t="s">
        <v>17</v>
      </c>
      <c r="C15" s="6">
        <v>8.3000000000000002E-6</v>
      </c>
      <c r="D15" s="8" t="s">
        <v>21</v>
      </c>
      <c r="E15" s="2"/>
      <c r="F15" s="2"/>
      <c r="G15" s="2"/>
      <c r="H15" s="2"/>
      <c r="I15" s="2"/>
      <c r="J15" s="2"/>
      <c r="K15" s="57"/>
      <c r="L15" s="2"/>
      <c r="M15" s="2"/>
      <c r="N15" s="2"/>
      <c r="O15" s="56"/>
    </row>
    <row r="16" spans="1:15" ht="18" thickBot="1" x14ac:dyDescent="0.3">
      <c r="A16" s="121"/>
      <c r="B16" s="9" t="s">
        <v>18</v>
      </c>
      <c r="C16" s="10">
        <v>4.3800000000000004E-6</v>
      </c>
      <c r="D16" s="11" t="s">
        <v>22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56"/>
    </row>
    <row r="17" spans="1:15" ht="15" customHeight="1" thickBot="1" x14ac:dyDescent="0.3">
      <c r="A17" s="18" t="s">
        <v>43</v>
      </c>
      <c r="B17" s="33" t="s">
        <v>42</v>
      </c>
      <c r="C17" s="35">
        <v>1.4999999999999999E-4</v>
      </c>
      <c r="D17" s="34" t="s">
        <v>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56"/>
    </row>
    <row r="18" spans="1:15" x14ac:dyDescent="0.25">
      <c r="A18" s="122" t="s">
        <v>23</v>
      </c>
      <c r="B18" s="12" t="s">
        <v>24</v>
      </c>
      <c r="C18" s="12">
        <v>8.7400000000000005E-2</v>
      </c>
      <c r="D18" s="13" t="s">
        <v>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56"/>
    </row>
    <row r="19" spans="1:15" ht="17.25" x14ac:dyDescent="0.25">
      <c r="A19" s="120"/>
      <c r="B19" s="4" t="s">
        <v>9</v>
      </c>
      <c r="C19" s="4">
        <v>6.0000000000000001E-3</v>
      </c>
      <c r="D19" s="8" t="s">
        <v>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56"/>
    </row>
    <row r="20" spans="1:15" x14ac:dyDescent="0.25">
      <c r="A20" s="120"/>
      <c r="B20" s="4" t="s">
        <v>45</v>
      </c>
      <c r="C20" s="36">
        <f>30/C18</f>
        <v>343.2494279176201</v>
      </c>
      <c r="D20" s="8" t="s">
        <v>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56"/>
    </row>
    <row r="21" spans="1:15" x14ac:dyDescent="0.25">
      <c r="A21" s="120"/>
      <c r="B21" s="4" t="s">
        <v>41</v>
      </c>
      <c r="C21" s="36">
        <f>C18/C17</f>
        <v>582.66666666666674</v>
      </c>
      <c r="D21" s="8" t="s">
        <v>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56"/>
    </row>
    <row r="22" spans="1:15" x14ac:dyDescent="0.25">
      <c r="A22" s="120"/>
      <c r="B22" s="4" t="s">
        <v>27</v>
      </c>
      <c r="C22" s="36">
        <f>(C25*C18)/C16</f>
        <v>2037680.4490106541</v>
      </c>
      <c r="D22" s="8" t="s">
        <v>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56"/>
    </row>
    <row r="23" spans="1:15" x14ac:dyDescent="0.25">
      <c r="A23" s="120"/>
      <c r="B23" s="4" t="s">
        <v>44</v>
      </c>
      <c r="C23" s="45">
        <f>0.25/((LOG((1/3.7/C21)+(5.74/C22^0.9)))^2)</f>
        <v>2.2647084660792731E-2</v>
      </c>
      <c r="D23" s="8" t="s">
        <v>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56"/>
    </row>
    <row r="24" spans="1:15" x14ac:dyDescent="0.25">
      <c r="A24" s="120"/>
      <c r="B24" s="39" t="s">
        <v>26</v>
      </c>
      <c r="C24" s="45">
        <f>0.25/(LOG(1/3.7/C21)^2)</f>
        <v>2.2496104887585817E-2</v>
      </c>
      <c r="D24" s="8" t="s">
        <v>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56"/>
    </row>
    <row r="25" spans="1:15" ht="18" thickBot="1" x14ac:dyDescent="0.3">
      <c r="A25" s="121"/>
      <c r="B25" s="58" t="s">
        <v>83</v>
      </c>
      <c r="C25" s="31">
        <f>C3/C19</f>
        <v>102.11716666666666</v>
      </c>
      <c r="D25" s="11" t="s">
        <v>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56"/>
    </row>
    <row r="26" spans="1:15" x14ac:dyDescent="0.25">
      <c r="A26" s="122" t="s">
        <v>28</v>
      </c>
      <c r="B26" s="12" t="s">
        <v>24</v>
      </c>
      <c r="C26" s="12">
        <v>0.25569999999999998</v>
      </c>
      <c r="D26" s="13" t="s">
        <v>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56"/>
    </row>
    <row r="27" spans="1:15" ht="17.25" x14ac:dyDescent="0.25">
      <c r="A27" s="120"/>
      <c r="B27" s="4" t="s">
        <v>9</v>
      </c>
      <c r="C27" s="4">
        <v>5.1319999999999998E-2</v>
      </c>
      <c r="D27" s="8" t="s">
        <v>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56"/>
    </row>
    <row r="28" spans="1:15" x14ac:dyDescent="0.25">
      <c r="A28" s="120"/>
      <c r="B28" s="4" t="s">
        <v>47</v>
      </c>
      <c r="C28" s="36">
        <f>48/C26</f>
        <v>187.71998435666799</v>
      </c>
      <c r="D28" s="8" t="s">
        <v>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56"/>
    </row>
    <row r="29" spans="1:15" x14ac:dyDescent="0.25">
      <c r="A29" s="120"/>
      <c r="B29" s="4" t="s">
        <v>41</v>
      </c>
      <c r="C29" s="36">
        <f>C26/C17</f>
        <v>1704.6666666666667</v>
      </c>
      <c r="D29" s="8" t="s">
        <v>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56"/>
    </row>
    <row r="30" spans="1:15" ht="17.25" customHeight="1" x14ac:dyDescent="0.25">
      <c r="A30" s="120"/>
      <c r="B30" s="4" t="s">
        <v>27</v>
      </c>
      <c r="C30" s="36">
        <f>(C33*C26)/C16</f>
        <v>696979.45516892837</v>
      </c>
      <c r="D30" s="8"/>
      <c r="E30" s="2"/>
      <c r="F30" s="2"/>
      <c r="G30" s="2"/>
      <c r="H30" s="2"/>
      <c r="I30" s="2"/>
      <c r="J30" s="2"/>
      <c r="K30" s="2"/>
      <c r="L30" s="2"/>
      <c r="M30" s="2"/>
      <c r="N30" s="2"/>
      <c r="O30" s="56"/>
    </row>
    <row r="31" spans="1:15" ht="17.25" customHeight="1" x14ac:dyDescent="0.25">
      <c r="A31" s="120"/>
      <c r="B31" s="4" t="s">
        <v>44</v>
      </c>
      <c r="C31" s="45">
        <f>0.25/((LOG((1/3.7/C29)+(5.74/C30^0.9)))^2)</f>
        <v>1.8057365559038446E-2</v>
      </c>
      <c r="D31" s="8" t="s">
        <v>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56"/>
    </row>
    <row r="32" spans="1:15" ht="17.25" customHeight="1" x14ac:dyDescent="0.25">
      <c r="A32" s="120"/>
      <c r="B32" s="4" t="s">
        <v>26</v>
      </c>
      <c r="C32" s="38">
        <f>0.25/(LOG(1/3.7/C29)^2)</f>
        <v>1.7314466548677205E-2</v>
      </c>
      <c r="D32" s="8" t="s">
        <v>4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56"/>
    </row>
    <row r="33" spans="1:15" ht="18" thickBot="1" x14ac:dyDescent="0.3">
      <c r="A33" s="121"/>
      <c r="B33" s="58" t="s">
        <v>83</v>
      </c>
      <c r="C33" s="31">
        <f>C3/C27</f>
        <v>11.938873733437257</v>
      </c>
      <c r="D33" s="11" t="s">
        <v>6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56"/>
    </row>
    <row r="34" spans="1:15" x14ac:dyDescent="0.25">
      <c r="A34" s="122" t="s">
        <v>29</v>
      </c>
      <c r="B34" s="12" t="s">
        <v>24</v>
      </c>
      <c r="C34" s="12">
        <v>0.33550000000000002</v>
      </c>
      <c r="D34" s="13" t="s">
        <v>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56"/>
    </row>
    <row r="35" spans="1:15" ht="17.25" x14ac:dyDescent="0.25">
      <c r="A35" s="120"/>
      <c r="B35" s="4" t="s">
        <v>9</v>
      </c>
      <c r="C35" s="4">
        <v>8.8400000000000006E-2</v>
      </c>
      <c r="D35" s="8" t="s">
        <v>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56"/>
    </row>
    <row r="36" spans="1:15" x14ac:dyDescent="0.25">
      <c r="A36" s="120"/>
      <c r="B36" s="4" t="s">
        <v>46</v>
      </c>
      <c r="C36" s="36">
        <f>10/C34</f>
        <v>29.806259314456035</v>
      </c>
      <c r="D36" s="8" t="s">
        <v>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56"/>
    </row>
    <row r="37" spans="1:15" x14ac:dyDescent="0.25">
      <c r="A37" s="120"/>
      <c r="B37" s="4" t="s">
        <v>41</v>
      </c>
      <c r="C37" s="36">
        <f>C34/C17</f>
        <v>2236.666666666667</v>
      </c>
      <c r="D37" s="8" t="s">
        <v>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56"/>
    </row>
    <row r="38" spans="1:15" x14ac:dyDescent="0.25">
      <c r="A38" s="120"/>
      <c r="B38" s="4" t="s">
        <v>27</v>
      </c>
      <c r="C38" s="36">
        <f>(C41*C34)/C16</f>
        <v>530904.19352672575</v>
      </c>
      <c r="D38" s="8" t="s">
        <v>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56"/>
    </row>
    <row r="39" spans="1:15" x14ac:dyDescent="0.25">
      <c r="A39" s="120"/>
      <c r="B39" s="4" t="s">
        <v>44</v>
      </c>
      <c r="C39" s="45">
        <f>0.25/((LOG((1/3.7/C37)+(5.74/C38^0.9)))^2)</f>
        <v>1.7381256263641839E-2</v>
      </c>
      <c r="D39" s="8" t="s">
        <v>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56"/>
    </row>
    <row r="40" spans="1:15" x14ac:dyDescent="0.25">
      <c r="A40" s="120"/>
      <c r="B40" s="4" t="s">
        <v>26</v>
      </c>
      <c r="C40" s="38">
        <f>0.25/(LOG(1/3.7/C37)^2)</f>
        <v>1.6287514752533792E-2</v>
      </c>
      <c r="D40" s="8" t="s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56"/>
    </row>
    <row r="41" spans="1:15" ht="18" thickBot="1" x14ac:dyDescent="0.3">
      <c r="A41" s="120"/>
      <c r="B41" s="58" t="s">
        <v>83</v>
      </c>
      <c r="C41" s="37">
        <f>C3/C35</f>
        <v>6.9310294117647056</v>
      </c>
      <c r="D41" s="30" t="s">
        <v>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56"/>
    </row>
    <row r="42" spans="1:15" ht="17.25" x14ac:dyDescent="0.25">
      <c r="A42" s="25" t="s">
        <v>53</v>
      </c>
      <c r="B42" s="12" t="s">
        <v>0</v>
      </c>
      <c r="C42" s="12">
        <v>32.200000000000003</v>
      </c>
      <c r="D42" s="13" t="s">
        <v>6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56"/>
    </row>
    <row r="43" spans="1:15" ht="18" x14ac:dyDescent="0.25">
      <c r="A43" s="42" t="s">
        <v>63</v>
      </c>
      <c r="B43" s="4" t="s">
        <v>70</v>
      </c>
      <c r="C43" s="4">
        <v>0.7</v>
      </c>
      <c r="D43" s="8" t="s">
        <v>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56"/>
    </row>
    <row r="44" spans="1:15" ht="18.75" thickBot="1" x14ac:dyDescent="0.3">
      <c r="A44" s="41" t="s">
        <v>64</v>
      </c>
      <c r="B44" s="9" t="s">
        <v>84</v>
      </c>
      <c r="C44" s="9">
        <f>15-4.5</f>
        <v>10.5</v>
      </c>
      <c r="D44" s="11" t="s">
        <v>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56"/>
    </row>
    <row r="45" spans="1:15" x14ac:dyDescent="0.25">
      <c r="A45" s="101" t="s">
        <v>122</v>
      </c>
      <c r="B45" s="102"/>
      <c r="C45" s="102"/>
      <c r="D45" s="103"/>
      <c r="E45" s="40" t="s">
        <v>61</v>
      </c>
      <c r="F45" s="40" t="s">
        <v>62</v>
      </c>
      <c r="G45" s="2"/>
      <c r="H45" s="2"/>
      <c r="I45" s="2"/>
      <c r="J45" s="2"/>
      <c r="K45" s="2"/>
      <c r="L45" s="2"/>
      <c r="M45" s="2"/>
      <c r="N45" s="2"/>
      <c r="O45" s="56"/>
    </row>
    <row r="46" spans="1:15" x14ac:dyDescent="0.25">
      <c r="A46" s="97" t="s">
        <v>56</v>
      </c>
      <c r="B46" s="86" t="s">
        <v>12</v>
      </c>
      <c r="C46" s="98">
        <f>(C5*C32)*(C33^2)/(2*C42)</f>
        <v>1.1496647647794149</v>
      </c>
      <c r="D46" s="88" t="s">
        <v>5</v>
      </c>
      <c r="E46" s="88">
        <v>4</v>
      </c>
      <c r="F46" s="123">
        <f>C46*E46</f>
        <v>4.5986590591176597</v>
      </c>
      <c r="G46" s="46"/>
      <c r="H46" s="2"/>
      <c r="I46" s="2"/>
      <c r="J46" s="2"/>
      <c r="K46" s="2"/>
      <c r="L46" s="2"/>
      <c r="M46" s="2"/>
      <c r="N46" s="2"/>
      <c r="O46" s="56"/>
    </row>
    <row r="47" spans="1:15" ht="21.75" customHeight="1" x14ac:dyDescent="0.25">
      <c r="A47" s="97"/>
      <c r="B47" s="86"/>
      <c r="C47" s="98"/>
      <c r="D47" s="88"/>
      <c r="E47" s="88"/>
      <c r="F47" s="123"/>
      <c r="G47" s="46"/>
      <c r="H47" s="2"/>
      <c r="I47" s="2"/>
      <c r="J47" s="2"/>
      <c r="K47" s="2"/>
      <c r="L47" s="2"/>
      <c r="M47" s="2"/>
      <c r="N47" s="2"/>
      <c r="O47" s="56"/>
    </row>
    <row r="48" spans="1:15" x14ac:dyDescent="0.25">
      <c r="A48" s="93"/>
      <c r="B48" s="94"/>
      <c r="C48" s="94"/>
      <c r="D48" s="95"/>
      <c r="E48" s="40" t="s">
        <v>61</v>
      </c>
      <c r="F48" s="40" t="s">
        <v>62</v>
      </c>
      <c r="G48" s="46"/>
      <c r="H48" s="2"/>
      <c r="I48" s="2"/>
      <c r="J48" s="2"/>
      <c r="K48" s="2"/>
      <c r="L48" s="2"/>
      <c r="M48" s="2"/>
      <c r="N48" s="2"/>
      <c r="O48" s="56"/>
    </row>
    <row r="49" spans="1:15" x14ac:dyDescent="0.25">
      <c r="A49" s="97" t="s">
        <v>55</v>
      </c>
      <c r="B49" s="86" t="s">
        <v>12</v>
      </c>
      <c r="C49" s="98">
        <f>(C9*C32)*(C33^2)/(2*C42)</f>
        <v>2.2993295295588299</v>
      </c>
      <c r="D49" s="88" t="s">
        <v>5</v>
      </c>
      <c r="E49" s="88">
        <v>2</v>
      </c>
      <c r="F49" s="123">
        <f>C49*E49</f>
        <v>4.5986590591176597</v>
      </c>
      <c r="G49" s="46"/>
      <c r="H49" s="2"/>
      <c r="I49" s="2"/>
      <c r="J49" s="2"/>
      <c r="K49" s="2"/>
      <c r="L49" s="2"/>
      <c r="M49" s="2"/>
      <c r="N49" s="2"/>
      <c r="O49" s="56"/>
    </row>
    <row r="50" spans="1:15" ht="21" customHeight="1" x14ac:dyDescent="0.25">
      <c r="A50" s="97"/>
      <c r="B50" s="86"/>
      <c r="C50" s="98"/>
      <c r="D50" s="88"/>
      <c r="E50" s="88"/>
      <c r="F50" s="123"/>
      <c r="G50" s="46"/>
      <c r="H50" s="2"/>
      <c r="I50" s="2"/>
      <c r="J50" s="2"/>
      <c r="K50" s="2"/>
      <c r="L50" s="2"/>
      <c r="M50" s="2"/>
      <c r="N50" s="2"/>
      <c r="O50" s="56"/>
    </row>
    <row r="51" spans="1:15" x14ac:dyDescent="0.25">
      <c r="A51" s="93"/>
      <c r="B51" s="94"/>
      <c r="C51" s="94"/>
      <c r="D51" s="95"/>
      <c r="E51" s="40" t="s">
        <v>61</v>
      </c>
      <c r="F51" s="40" t="s">
        <v>62</v>
      </c>
      <c r="G51" s="46"/>
      <c r="H51" s="2"/>
      <c r="I51" s="2"/>
      <c r="J51" s="2"/>
      <c r="K51" s="2"/>
      <c r="L51" s="2"/>
      <c r="M51" s="2"/>
      <c r="N51" s="2"/>
      <c r="O51" s="56"/>
    </row>
    <row r="52" spans="1:15" x14ac:dyDescent="0.25">
      <c r="A52" s="97" t="s">
        <v>60</v>
      </c>
      <c r="B52" s="86" t="s">
        <v>12</v>
      </c>
      <c r="C52" s="87">
        <f>(C7*C32)*(C33^2)/(2*C42)</f>
        <v>3.8322158825980499</v>
      </c>
      <c r="D52" s="88" t="s">
        <v>5</v>
      </c>
      <c r="E52" s="88">
        <v>1</v>
      </c>
      <c r="F52" s="123">
        <f>C52*E52</f>
        <v>3.8322158825980499</v>
      </c>
      <c r="G52" s="46"/>
      <c r="H52" s="2"/>
      <c r="I52" s="2"/>
      <c r="J52" s="2"/>
      <c r="K52" s="2"/>
      <c r="L52" s="2"/>
      <c r="M52" s="2"/>
      <c r="N52" s="2"/>
      <c r="O52" s="56"/>
    </row>
    <row r="53" spans="1:15" ht="41.25" customHeight="1" x14ac:dyDescent="0.25">
      <c r="A53" s="97"/>
      <c r="B53" s="86"/>
      <c r="C53" s="87"/>
      <c r="D53" s="88"/>
      <c r="E53" s="88"/>
      <c r="F53" s="123"/>
      <c r="G53" s="46"/>
      <c r="H53" s="2"/>
      <c r="I53" s="2"/>
      <c r="J53" s="2"/>
      <c r="K53" s="2"/>
      <c r="L53" s="2"/>
      <c r="M53" s="2"/>
      <c r="N53" s="2"/>
      <c r="O53" s="56"/>
    </row>
    <row r="54" spans="1:15" x14ac:dyDescent="0.25">
      <c r="A54" s="93"/>
      <c r="B54" s="94"/>
      <c r="C54" s="94"/>
      <c r="D54" s="95"/>
      <c r="E54" s="64" t="s">
        <v>61</v>
      </c>
      <c r="F54" s="64" t="s">
        <v>62</v>
      </c>
      <c r="G54" s="46"/>
      <c r="H54" s="2"/>
      <c r="I54" s="2"/>
      <c r="J54" s="2"/>
      <c r="K54" s="2"/>
      <c r="L54" s="2"/>
      <c r="M54" s="2"/>
      <c r="N54" s="2"/>
      <c r="O54" s="56"/>
    </row>
    <row r="55" spans="1:15" x14ac:dyDescent="0.25">
      <c r="A55" s="97" t="s">
        <v>50</v>
      </c>
      <c r="B55" s="88" t="s">
        <v>10</v>
      </c>
      <c r="C55" s="87">
        <f>C31*(C28*((C33^2)/(2*C42)))</f>
        <v>7.5024956154589679</v>
      </c>
      <c r="D55" s="88" t="s">
        <v>5</v>
      </c>
      <c r="E55" s="124">
        <v>1</v>
      </c>
      <c r="F55" s="123">
        <f>C55*E55</f>
        <v>7.5024956154589679</v>
      </c>
      <c r="G55" s="46"/>
      <c r="H55" s="2"/>
      <c r="I55" s="2"/>
      <c r="J55" s="2"/>
      <c r="K55" s="2"/>
      <c r="L55" s="2"/>
      <c r="M55" s="2"/>
      <c r="N55" s="2"/>
      <c r="O55" s="56"/>
    </row>
    <row r="56" spans="1:15" ht="38.25" customHeight="1" x14ac:dyDescent="0.25">
      <c r="A56" s="97"/>
      <c r="B56" s="88"/>
      <c r="C56" s="87"/>
      <c r="D56" s="88"/>
      <c r="E56" s="124"/>
      <c r="F56" s="123"/>
      <c r="G56" s="46"/>
      <c r="H56" s="2"/>
      <c r="I56" s="2"/>
      <c r="J56" s="2"/>
      <c r="K56" s="2"/>
      <c r="L56" s="2"/>
      <c r="M56" s="2"/>
      <c r="N56" s="2"/>
      <c r="O56" s="56"/>
    </row>
    <row r="57" spans="1:15" x14ac:dyDescent="0.25">
      <c r="A57" s="93"/>
      <c r="B57" s="94"/>
      <c r="C57" s="94"/>
      <c r="D57" s="95"/>
      <c r="E57" s="65" t="s">
        <v>61</v>
      </c>
      <c r="F57" s="40" t="s">
        <v>62</v>
      </c>
      <c r="G57" s="46"/>
      <c r="H57" s="2"/>
      <c r="I57" s="2"/>
      <c r="J57" s="2"/>
      <c r="K57" s="2"/>
      <c r="L57" s="2"/>
      <c r="M57" s="2"/>
      <c r="N57" s="2"/>
      <c r="O57" s="56"/>
    </row>
    <row r="58" spans="1:15" ht="37.5" customHeight="1" x14ac:dyDescent="0.25">
      <c r="A58" s="97" t="s">
        <v>78</v>
      </c>
      <c r="B58" s="86" t="s">
        <v>12</v>
      </c>
      <c r="C58" s="87">
        <f>C6*(C33^2)/(2*C42)</f>
        <v>17.706423108441996</v>
      </c>
      <c r="D58" s="88" t="s">
        <v>5</v>
      </c>
      <c r="E58" s="88">
        <v>3</v>
      </c>
      <c r="F58" s="123">
        <f>C58*E58</f>
        <v>53.119269325325988</v>
      </c>
      <c r="G58" s="46"/>
      <c r="H58" s="2"/>
      <c r="I58" s="2"/>
      <c r="J58" s="2"/>
      <c r="K58" s="2"/>
      <c r="L58" s="2"/>
      <c r="M58" s="2"/>
      <c r="N58" s="2"/>
      <c r="O58" s="56"/>
    </row>
    <row r="59" spans="1:15" x14ac:dyDescent="0.25">
      <c r="A59" s="99"/>
      <c r="B59" s="100"/>
      <c r="C59" s="87"/>
      <c r="D59" s="88"/>
      <c r="E59" s="88"/>
      <c r="F59" s="123"/>
      <c r="G59" s="46"/>
      <c r="H59" s="2"/>
      <c r="I59" s="2"/>
      <c r="J59" s="2"/>
      <c r="K59" s="2"/>
      <c r="L59" s="2"/>
      <c r="M59" s="2"/>
      <c r="N59" s="2"/>
      <c r="O59" s="56"/>
    </row>
    <row r="60" spans="1:15" x14ac:dyDescent="0.25">
      <c r="A60" s="93"/>
      <c r="B60" s="94"/>
      <c r="C60" s="94"/>
      <c r="D60" s="95"/>
      <c r="E60" s="40" t="s">
        <v>61</v>
      </c>
      <c r="F60" s="40" t="s">
        <v>62</v>
      </c>
      <c r="G60" s="46"/>
      <c r="H60" s="2"/>
      <c r="I60" s="2"/>
      <c r="J60" s="2"/>
      <c r="K60" s="2"/>
      <c r="L60" s="2"/>
      <c r="M60" s="2"/>
      <c r="N60" s="2"/>
      <c r="O60" s="56"/>
    </row>
    <row r="61" spans="1:15" s="14" customFormat="1" ht="37.5" customHeight="1" x14ac:dyDescent="0.25">
      <c r="A61" s="97" t="s">
        <v>59</v>
      </c>
      <c r="B61" s="86" t="s">
        <v>12</v>
      </c>
      <c r="C61" s="87">
        <f>(C6*C32)*(C33^2)/(2*C42)</f>
        <v>0.30657727060784401</v>
      </c>
      <c r="D61" s="88" t="s">
        <v>5</v>
      </c>
      <c r="E61" s="88">
        <v>3</v>
      </c>
      <c r="F61" s="123">
        <f>C61*E61</f>
        <v>0.91973181182353203</v>
      </c>
      <c r="G61" s="46"/>
      <c r="H61" s="2"/>
      <c r="I61" s="2"/>
      <c r="J61" s="2"/>
      <c r="K61" s="2"/>
      <c r="L61" s="2"/>
      <c r="M61" s="2"/>
      <c r="N61" s="2"/>
      <c r="O61" s="56"/>
    </row>
    <row r="62" spans="1:15" s="14" customFormat="1" x14ac:dyDescent="0.25">
      <c r="A62" s="99"/>
      <c r="B62" s="100"/>
      <c r="C62" s="87"/>
      <c r="D62" s="88"/>
      <c r="E62" s="88"/>
      <c r="F62" s="123"/>
      <c r="G62" s="46"/>
      <c r="H62" s="2"/>
      <c r="I62" s="2"/>
      <c r="J62" s="2"/>
      <c r="K62" s="2"/>
      <c r="L62" s="2"/>
      <c r="M62" s="2"/>
      <c r="N62" s="2"/>
      <c r="O62" s="56"/>
    </row>
    <row r="63" spans="1:15" s="14" customFormat="1" x14ac:dyDescent="0.25">
      <c r="A63" s="93"/>
      <c r="B63" s="94"/>
      <c r="C63" s="94"/>
      <c r="D63" s="95"/>
      <c r="E63" s="40" t="s">
        <v>61</v>
      </c>
      <c r="F63" s="40" t="s">
        <v>62</v>
      </c>
      <c r="G63" s="46"/>
      <c r="H63" s="2"/>
      <c r="I63" s="2"/>
      <c r="J63" s="2"/>
      <c r="K63" s="2"/>
      <c r="L63" s="2"/>
      <c r="M63" s="2"/>
      <c r="N63" s="2"/>
      <c r="O63" s="56"/>
    </row>
    <row r="64" spans="1:15" ht="24" customHeight="1" x14ac:dyDescent="0.25">
      <c r="A64" s="92" t="s">
        <v>54</v>
      </c>
      <c r="B64" s="86" t="s">
        <v>12</v>
      </c>
      <c r="C64" s="87">
        <f>(C6*C40)*(C41^2)/(2*C42)</f>
        <v>9.7197350187653145E-2</v>
      </c>
      <c r="D64" s="88" t="s">
        <v>5</v>
      </c>
      <c r="E64" s="88">
        <v>1</v>
      </c>
      <c r="F64" s="123">
        <f>C64*E64</f>
        <v>9.7197350187653145E-2</v>
      </c>
      <c r="G64" s="46"/>
      <c r="H64" s="2"/>
      <c r="I64" s="2"/>
      <c r="J64" s="2"/>
      <c r="K64" s="2"/>
      <c r="L64" s="2"/>
      <c r="M64" s="2"/>
      <c r="N64" s="2"/>
      <c r="O64" s="56"/>
    </row>
    <row r="65" spans="1:15" ht="33.75" customHeight="1" x14ac:dyDescent="0.25">
      <c r="A65" s="92"/>
      <c r="B65" s="86"/>
      <c r="C65" s="87"/>
      <c r="D65" s="88"/>
      <c r="E65" s="88"/>
      <c r="F65" s="123"/>
      <c r="G65" s="46"/>
      <c r="H65" s="2"/>
      <c r="I65" s="2"/>
      <c r="J65" s="2"/>
      <c r="K65" s="2"/>
      <c r="L65" s="2"/>
      <c r="M65" s="2"/>
      <c r="N65" s="2"/>
      <c r="O65" s="56"/>
    </row>
    <row r="66" spans="1:15" x14ac:dyDescent="0.25">
      <c r="A66" s="93"/>
      <c r="B66" s="94"/>
      <c r="C66" s="94"/>
      <c r="D66" s="95"/>
      <c r="E66" s="40" t="s">
        <v>61</v>
      </c>
      <c r="F66" s="40" t="s">
        <v>62</v>
      </c>
      <c r="G66" s="2"/>
      <c r="H66" s="2"/>
      <c r="I66" s="2"/>
      <c r="J66" s="2"/>
      <c r="K66" s="2"/>
      <c r="L66" s="2"/>
      <c r="M66" s="2"/>
      <c r="N66" s="2"/>
      <c r="O66" s="56"/>
    </row>
    <row r="67" spans="1:15" ht="33.75" customHeight="1" x14ac:dyDescent="0.25">
      <c r="A67" s="92" t="s">
        <v>52</v>
      </c>
      <c r="B67" s="88" t="s">
        <v>10</v>
      </c>
      <c r="C67" s="87">
        <f>C39*(C36*((C41^2)/(2*C42)))</f>
        <v>0.38645439826730299</v>
      </c>
      <c r="D67" s="88" t="s">
        <v>5</v>
      </c>
      <c r="E67" s="88">
        <v>1</v>
      </c>
      <c r="F67" s="123">
        <f>C67*E67</f>
        <v>0.38645439826730299</v>
      </c>
      <c r="G67" s="2"/>
      <c r="H67" s="2"/>
      <c r="I67" s="2"/>
      <c r="J67" s="2"/>
      <c r="K67" s="2"/>
      <c r="L67" s="2"/>
      <c r="M67" s="2"/>
      <c r="N67" s="2"/>
      <c r="O67" s="56"/>
    </row>
    <row r="68" spans="1:15" x14ac:dyDescent="0.25">
      <c r="A68" s="92"/>
      <c r="B68" s="88"/>
      <c r="C68" s="87"/>
      <c r="D68" s="88"/>
      <c r="E68" s="88"/>
      <c r="F68" s="123"/>
      <c r="G68" s="2"/>
      <c r="H68" s="2"/>
      <c r="I68" s="2"/>
      <c r="J68" s="2"/>
      <c r="K68" s="2"/>
      <c r="L68" s="2"/>
      <c r="M68" s="2"/>
      <c r="N68" s="2"/>
      <c r="O68" s="56"/>
    </row>
    <row r="69" spans="1:15" x14ac:dyDescent="0.25">
      <c r="A69" s="93"/>
      <c r="B69" s="94"/>
      <c r="C69" s="94"/>
      <c r="D69" s="95"/>
      <c r="E69" s="40" t="s">
        <v>61</v>
      </c>
      <c r="F69" s="40" t="s">
        <v>62</v>
      </c>
      <c r="G69" s="2"/>
      <c r="H69" s="2"/>
      <c r="I69" s="2"/>
      <c r="J69" s="2"/>
      <c r="K69" s="2"/>
      <c r="L69" s="2"/>
      <c r="M69" s="2"/>
      <c r="N69" s="2"/>
      <c r="O69" s="56"/>
    </row>
    <row r="70" spans="1:15" x14ac:dyDescent="0.25">
      <c r="A70" s="92" t="s">
        <v>57</v>
      </c>
      <c r="B70" s="126" t="s">
        <v>12</v>
      </c>
      <c r="C70" s="127">
        <f>(C5*C40)*(C41^2)/(2*C42)</f>
        <v>0.36449006320369931</v>
      </c>
      <c r="D70" s="113" t="s">
        <v>5</v>
      </c>
      <c r="E70" s="88">
        <v>0</v>
      </c>
      <c r="F70" s="123">
        <f>C70*E70</f>
        <v>0</v>
      </c>
      <c r="G70" s="2"/>
      <c r="H70" s="2"/>
      <c r="I70" s="2"/>
      <c r="J70" s="2"/>
      <c r="K70" s="2"/>
      <c r="L70" s="2"/>
      <c r="M70" s="2"/>
      <c r="N70" s="2"/>
      <c r="O70" s="56"/>
    </row>
    <row r="71" spans="1:15" ht="41.25" customHeight="1" x14ac:dyDescent="0.25">
      <c r="A71" s="92"/>
      <c r="B71" s="126"/>
      <c r="C71" s="127"/>
      <c r="D71" s="113"/>
      <c r="E71" s="88"/>
      <c r="F71" s="123"/>
      <c r="G71" s="2"/>
      <c r="H71" s="2"/>
      <c r="I71" s="2"/>
      <c r="J71" s="2"/>
      <c r="K71" s="2"/>
      <c r="L71" s="2"/>
      <c r="M71" s="2"/>
      <c r="N71" s="2"/>
      <c r="O71" s="56"/>
    </row>
    <row r="72" spans="1:15" x14ac:dyDescent="0.25">
      <c r="A72" s="93"/>
      <c r="B72" s="94"/>
      <c r="C72" s="94"/>
      <c r="D72" s="95"/>
      <c r="E72" s="40" t="s">
        <v>61</v>
      </c>
      <c r="F72" s="40" t="s">
        <v>62</v>
      </c>
      <c r="G72" s="2"/>
      <c r="H72" s="2"/>
      <c r="I72" s="2"/>
      <c r="J72" s="2"/>
      <c r="K72" s="2"/>
      <c r="L72" s="2"/>
      <c r="M72" s="2"/>
      <c r="N72" s="2"/>
      <c r="O72" s="56"/>
    </row>
    <row r="73" spans="1:15" x14ac:dyDescent="0.25">
      <c r="A73" s="92" t="s">
        <v>13</v>
      </c>
      <c r="B73" s="88" t="s">
        <v>11</v>
      </c>
      <c r="C73" s="87">
        <f>C4*(C41^2)/(2*C42)</f>
        <v>0.37297491231946733</v>
      </c>
      <c r="D73" s="88" t="s">
        <v>5</v>
      </c>
      <c r="E73" s="88">
        <v>1</v>
      </c>
      <c r="F73" s="123">
        <f>C73*E73</f>
        <v>0.37297491231946733</v>
      </c>
      <c r="G73" s="2"/>
      <c r="H73" s="2"/>
      <c r="I73" s="2"/>
      <c r="J73" s="2"/>
      <c r="K73" s="2"/>
      <c r="L73" s="2"/>
      <c r="M73" s="2"/>
      <c r="N73" s="2"/>
      <c r="O73" s="56"/>
    </row>
    <row r="74" spans="1:15" ht="22.5" customHeight="1" x14ac:dyDescent="0.25">
      <c r="A74" s="92"/>
      <c r="B74" s="88"/>
      <c r="C74" s="87"/>
      <c r="D74" s="88"/>
      <c r="E74" s="88"/>
      <c r="F74" s="123"/>
      <c r="G74" s="2">
        <f>C73*5.88</f>
        <v>2.193092484438468</v>
      </c>
      <c r="H74" s="2"/>
      <c r="I74" s="2"/>
      <c r="J74" s="2"/>
      <c r="K74" s="2"/>
      <c r="L74" s="2"/>
      <c r="M74" s="2"/>
      <c r="N74" s="2"/>
      <c r="O74" s="56"/>
    </row>
    <row r="75" spans="1:15" x14ac:dyDescent="0.25">
      <c r="A75" s="93"/>
      <c r="B75" s="94"/>
      <c r="C75" s="94"/>
      <c r="D75" s="95"/>
      <c r="E75" s="40" t="s">
        <v>61</v>
      </c>
      <c r="F75" s="40" t="s">
        <v>62</v>
      </c>
      <c r="G75" s="2"/>
      <c r="H75" s="2"/>
      <c r="I75" s="2"/>
      <c r="J75" s="2"/>
      <c r="K75" s="2"/>
      <c r="L75" s="2"/>
      <c r="M75" s="2"/>
      <c r="N75" s="2"/>
      <c r="O75" s="56"/>
    </row>
    <row r="76" spans="1:15" x14ac:dyDescent="0.25">
      <c r="A76" s="125" t="s">
        <v>72</v>
      </c>
      <c r="B76" s="126" t="s">
        <v>12</v>
      </c>
      <c r="C76" s="127">
        <f>(C5*C24)*(C25^2)/(2*C42)</f>
        <v>109.27988477171678</v>
      </c>
      <c r="D76" s="113" t="s">
        <v>5</v>
      </c>
      <c r="E76" s="88">
        <v>0</v>
      </c>
      <c r="F76" s="123">
        <f>C76*E76</f>
        <v>0</v>
      </c>
      <c r="G76" s="2"/>
      <c r="H76" s="2"/>
      <c r="I76" s="2"/>
      <c r="J76" s="2"/>
      <c r="K76" s="2"/>
      <c r="L76" s="2"/>
      <c r="M76" s="2"/>
      <c r="N76" s="2"/>
      <c r="O76" s="56"/>
    </row>
    <row r="77" spans="1:15" ht="41.25" customHeight="1" x14ac:dyDescent="0.25">
      <c r="A77" s="125"/>
      <c r="B77" s="126"/>
      <c r="C77" s="127"/>
      <c r="D77" s="113"/>
      <c r="E77" s="88"/>
      <c r="F77" s="123"/>
      <c r="G77" s="2"/>
      <c r="H77" s="2"/>
      <c r="I77" s="2"/>
      <c r="J77" s="2"/>
      <c r="K77" s="2"/>
      <c r="L77" s="2"/>
      <c r="M77" s="2"/>
      <c r="N77" s="2"/>
      <c r="O77" s="56"/>
    </row>
    <row r="78" spans="1:15" x14ac:dyDescent="0.25">
      <c r="A78" s="93"/>
      <c r="B78" s="94"/>
      <c r="C78" s="94"/>
      <c r="D78" s="95"/>
      <c r="E78" s="40" t="s">
        <v>61</v>
      </c>
      <c r="F78" s="40" t="s">
        <v>62</v>
      </c>
      <c r="G78" s="2"/>
      <c r="H78" s="2"/>
      <c r="I78" s="2"/>
      <c r="J78" s="2"/>
      <c r="K78" s="2"/>
      <c r="L78" s="2"/>
      <c r="M78" s="2"/>
      <c r="N78" s="2"/>
      <c r="O78" s="56"/>
    </row>
    <row r="79" spans="1:15" ht="24" customHeight="1" x14ac:dyDescent="0.25">
      <c r="A79" s="125" t="s">
        <v>73</v>
      </c>
      <c r="B79" s="86" t="s">
        <v>12</v>
      </c>
      <c r="C79" s="87">
        <f>(C6*C24)*(C25^2)/(2*C42)</f>
        <v>29.14130260579114</v>
      </c>
      <c r="D79" s="88" t="s">
        <v>5</v>
      </c>
      <c r="E79" s="88">
        <v>1</v>
      </c>
      <c r="F79" s="123">
        <f>C79*E79</f>
        <v>29.14130260579114</v>
      </c>
      <c r="G79" s="133" t="s">
        <v>77</v>
      </c>
      <c r="H79" s="2"/>
      <c r="I79" s="2"/>
      <c r="J79" s="2"/>
      <c r="K79" s="2"/>
      <c r="L79" s="2"/>
      <c r="M79" s="2"/>
      <c r="N79" s="2"/>
      <c r="O79" s="56"/>
    </row>
    <row r="80" spans="1:15" ht="33.75" customHeight="1" x14ac:dyDescent="0.25">
      <c r="A80" s="125"/>
      <c r="B80" s="86"/>
      <c r="C80" s="87"/>
      <c r="D80" s="88"/>
      <c r="E80" s="88"/>
      <c r="F80" s="123"/>
      <c r="G80" s="134"/>
      <c r="H80" s="2"/>
      <c r="I80" s="2"/>
      <c r="J80" s="2"/>
      <c r="K80" s="2"/>
      <c r="L80" s="2"/>
      <c r="M80" s="2"/>
      <c r="N80" s="2"/>
      <c r="O80" s="56"/>
    </row>
    <row r="81" spans="1:15" x14ac:dyDescent="0.25">
      <c r="A81" s="93"/>
      <c r="B81" s="94"/>
      <c r="C81" s="94"/>
      <c r="D81" s="95"/>
      <c r="E81" s="40" t="s">
        <v>61</v>
      </c>
      <c r="F81" s="40" t="s">
        <v>62</v>
      </c>
      <c r="G81" s="2"/>
      <c r="H81" s="2"/>
      <c r="I81" s="2"/>
      <c r="J81" s="2"/>
      <c r="K81" s="2"/>
      <c r="L81" s="2"/>
      <c r="M81" s="2"/>
      <c r="N81" s="2"/>
      <c r="O81" s="56"/>
    </row>
    <row r="82" spans="1:15" x14ac:dyDescent="0.25">
      <c r="A82" s="125" t="s">
        <v>51</v>
      </c>
      <c r="B82" s="88" t="s">
        <v>10</v>
      </c>
      <c r="C82" s="87">
        <f>C23*(C20*((C25^2)/(2*C42)))</f>
        <v>1258.7334433403416</v>
      </c>
      <c r="D82" s="88" t="s">
        <v>5</v>
      </c>
      <c r="E82" s="88">
        <v>1</v>
      </c>
      <c r="F82" s="123">
        <f>C82*E82</f>
        <v>1258.7334433403416</v>
      </c>
      <c r="G82" s="2"/>
      <c r="H82" s="2"/>
      <c r="I82" s="2"/>
      <c r="J82" s="2"/>
      <c r="K82" s="2"/>
      <c r="L82" s="2"/>
      <c r="M82" s="2"/>
      <c r="N82" s="2"/>
      <c r="O82" s="56"/>
    </row>
    <row r="83" spans="1:15" ht="33.75" customHeight="1" x14ac:dyDescent="0.25">
      <c r="A83" s="125"/>
      <c r="B83" s="88"/>
      <c r="C83" s="87"/>
      <c r="D83" s="88"/>
      <c r="E83" s="88"/>
      <c r="F83" s="123"/>
      <c r="G83" s="2"/>
      <c r="H83" s="2"/>
      <c r="I83" s="2"/>
      <c r="J83" s="2"/>
      <c r="K83" s="2"/>
      <c r="L83" s="2"/>
      <c r="M83" s="2"/>
      <c r="N83" s="2"/>
      <c r="O83" s="56"/>
    </row>
    <row r="84" spans="1:15" x14ac:dyDescent="0.25">
      <c r="A84" s="93"/>
      <c r="B84" s="94"/>
      <c r="C84" s="94"/>
      <c r="D84" s="95"/>
      <c r="E84" s="40" t="s">
        <v>61</v>
      </c>
      <c r="F84" s="40" t="s">
        <v>62</v>
      </c>
      <c r="G84" s="2"/>
      <c r="H84" s="2"/>
      <c r="I84" s="2"/>
      <c r="J84" s="2"/>
      <c r="K84" s="2"/>
      <c r="L84" s="2"/>
      <c r="M84" s="2"/>
      <c r="N84" s="2"/>
      <c r="O84" s="56"/>
    </row>
    <row r="85" spans="1:15" x14ac:dyDescent="0.25">
      <c r="A85" s="111" t="s">
        <v>48</v>
      </c>
      <c r="B85" s="88" t="s">
        <v>49</v>
      </c>
      <c r="C85" s="87">
        <f>C8*(C33^2)/(2*C42)</f>
        <v>26.559634662662994</v>
      </c>
      <c r="D85" s="88" t="s">
        <v>5</v>
      </c>
      <c r="E85" s="88">
        <v>1</v>
      </c>
      <c r="F85" s="123">
        <f>C85*E85</f>
        <v>26.559634662662994</v>
      </c>
      <c r="G85" s="2"/>
      <c r="H85" s="2"/>
      <c r="I85" s="2"/>
      <c r="J85" s="2"/>
      <c r="K85" s="2"/>
      <c r="L85" s="2"/>
      <c r="M85" s="2"/>
      <c r="N85" s="2"/>
      <c r="O85" s="56"/>
    </row>
    <row r="86" spans="1:15" ht="33" customHeight="1" x14ac:dyDescent="0.25">
      <c r="A86" s="111"/>
      <c r="B86" s="88"/>
      <c r="C86" s="87"/>
      <c r="D86" s="88"/>
      <c r="E86" s="88"/>
      <c r="F86" s="123"/>
      <c r="G86" s="43" t="s">
        <v>81</v>
      </c>
      <c r="H86" s="44">
        <f>F85+F73+F55+F67+F64+F52+F49+F46+F61</f>
        <v>48.868022751553283</v>
      </c>
      <c r="I86" s="2"/>
      <c r="J86" s="2"/>
      <c r="K86" s="2"/>
      <c r="L86" s="2"/>
      <c r="M86" s="2"/>
      <c r="N86" s="2"/>
      <c r="O86" s="56"/>
    </row>
    <row r="87" spans="1:15" x14ac:dyDescent="0.25">
      <c r="A87" s="93"/>
      <c r="B87" s="94"/>
      <c r="C87" s="94"/>
      <c r="D87" s="95"/>
      <c r="E87" s="40" t="s">
        <v>61</v>
      </c>
      <c r="F87" s="40" t="s">
        <v>62</v>
      </c>
      <c r="G87" s="2"/>
      <c r="H87" s="2"/>
      <c r="I87" s="2"/>
      <c r="J87" s="2"/>
      <c r="K87" s="2"/>
      <c r="L87" s="2"/>
      <c r="M87" s="2"/>
      <c r="N87" s="2"/>
      <c r="O87" s="56"/>
    </row>
    <row r="88" spans="1:15" x14ac:dyDescent="0.25">
      <c r="A88" s="112" t="s">
        <v>66</v>
      </c>
      <c r="B88" s="132" t="s">
        <v>85</v>
      </c>
      <c r="C88" s="114">
        <f>C44*(C33^2)/(2*C42)+H86</f>
        <v>72.107703081383406</v>
      </c>
      <c r="D88" s="113" t="s">
        <v>5</v>
      </c>
      <c r="E88" s="113" t="s">
        <v>4</v>
      </c>
      <c r="F88" s="115" t="s">
        <v>4</v>
      </c>
      <c r="G88" s="2"/>
      <c r="H88" s="2"/>
      <c r="I88" s="2"/>
      <c r="J88" s="2"/>
      <c r="K88" s="2"/>
      <c r="L88" s="2"/>
      <c r="M88" s="2"/>
      <c r="N88" s="2"/>
      <c r="O88" s="56"/>
    </row>
    <row r="89" spans="1:15" ht="18" customHeight="1" x14ac:dyDescent="0.25">
      <c r="A89" s="112"/>
      <c r="B89" s="132"/>
      <c r="C89" s="114"/>
      <c r="D89" s="113"/>
      <c r="E89" s="113"/>
      <c r="F89" s="115"/>
      <c r="G89" s="2"/>
      <c r="H89" s="2"/>
      <c r="I89" s="2"/>
      <c r="J89" s="2"/>
      <c r="K89" s="2"/>
      <c r="L89" s="2"/>
      <c r="M89" s="2"/>
      <c r="N89" s="2"/>
      <c r="O89" s="56"/>
    </row>
    <row r="90" spans="1:15" ht="15" customHeight="1" x14ac:dyDescent="0.25">
      <c r="A90" s="112" t="s">
        <v>65</v>
      </c>
      <c r="B90" s="113" t="s">
        <v>67</v>
      </c>
      <c r="C90" s="114">
        <f>($C$88*$C$13*$C$3)/550</f>
        <v>4.9000308473917169</v>
      </c>
      <c r="D90" s="113" t="s">
        <v>68</v>
      </c>
      <c r="E90" s="113" t="s">
        <v>4</v>
      </c>
      <c r="F90" s="115" t="s">
        <v>4</v>
      </c>
      <c r="G90" s="2"/>
      <c r="H90" s="2"/>
      <c r="I90" s="2"/>
      <c r="J90" s="2"/>
      <c r="K90" s="2"/>
      <c r="L90" s="2"/>
      <c r="M90" s="2"/>
      <c r="N90" s="2"/>
      <c r="O90" s="56"/>
    </row>
    <row r="91" spans="1:15" x14ac:dyDescent="0.25">
      <c r="A91" s="112"/>
      <c r="B91" s="113"/>
      <c r="C91" s="114"/>
      <c r="D91" s="113"/>
      <c r="E91" s="113"/>
      <c r="F91" s="115"/>
      <c r="G91" s="2">
        <f>C90*550</f>
        <v>2695.0169660654442</v>
      </c>
      <c r="H91" s="2"/>
      <c r="I91" s="2"/>
      <c r="J91" s="2"/>
      <c r="K91" s="2"/>
      <c r="L91" s="2"/>
      <c r="M91" s="2"/>
      <c r="N91" s="2"/>
      <c r="O91" s="56"/>
    </row>
    <row r="92" spans="1:15" x14ac:dyDescent="0.25">
      <c r="A92" s="112" t="s">
        <v>69</v>
      </c>
      <c r="B92" s="113" t="s">
        <v>71</v>
      </c>
      <c r="C92" s="114">
        <f>C90/C43</f>
        <v>7.0000440677024534</v>
      </c>
      <c r="D92" s="113" t="s">
        <v>68</v>
      </c>
      <c r="E92" s="113" t="s">
        <v>4</v>
      </c>
      <c r="F92" s="115" t="s">
        <v>4</v>
      </c>
      <c r="G92" s="2"/>
      <c r="H92" s="2"/>
      <c r="I92" s="2"/>
      <c r="J92" s="2"/>
      <c r="K92" s="2"/>
      <c r="L92" s="2"/>
      <c r="M92" s="2"/>
      <c r="N92" s="2"/>
      <c r="O92" s="56"/>
    </row>
    <row r="93" spans="1:15" ht="15.75" thickBot="1" x14ac:dyDescent="0.3">
      <c r="A93" s="128"/>
      <c r="B93" s="129"/>
      <c r="C93" s="130"/>
      <c r="D93" s="129"/>
      <c r="E93" s="129"/>
      <c r="F93" s="131"/>
      <c r="G93" s="59"/>
      <c r="H93" s="59"/>
      <c r="I93" s="59"/>
      <c r="J93" s="59"/>
      <c r="K93" s="59"/>
      <c r="L93" s="59"/>
      <c r="M93" s="59"/>
      <c r="N93" s="59"/>
      <c r="O93" s="60"/>
    </row>
    <row r="94" spans="1:15" ht="15.75" thickBot="1" x14ac:dyDescent="0.3"/>
    <row r="95" spans="1:15" ht="15.75" thickBot="1" x14ac:dyDescent="0.3">
      <c r="A95" s="61" t="s">
        <v>86</v>
      </c>
      <c r="B95" s="62"/>
      <c r="C95" s="62"/>
      <c r="D95" s="62"/>
      <c r="E95" s="62"/>
      <c r="F95" s="62"/>
      <c r="G95" s="62"/>
      <c r="H95" s="62"/>
      <c r="I95" s="66"/>
      <c r="J95" s="66"/>
      <c r="K95" s="66"/>
      <c r="L95" s="62"/>
      <c r="M95" s="66"/>
      <c r="N95" s="66"/>
      <c r="O95" s="63"/>
    </row>
    <row r="96" spans="1:15" x14ac:dyDescent="0.25">
      <c r="I96" s="70" t="s">
        <v>92</v>
      </c>
      <c r="J96" s="70" t="s">
        <v>2</v>
      </c>
      <c r="K96" s="70" t="s">
        <v>94</v>
      </c>
      <c r="M96" s="108" t="s">
        <v>99</v>
      </c>
      <c r="N96" s="108"/>
    </row>
    <row r="97" spans="1:14" ht="15" customHeight="1" x14ac:dyDescent="0.25">
      <c r="A97" s="112" t="s">
        <v>65</v>
      </c>
      <c r="B97" s="113" t="s">
        <v>87</v>
      </c>
      <c r="C97" s="114">
        <f>($C$88*$C$13*$C$3)</f>
        <v>2695.0169660654442</v>
      </c>
      <c r="D97" s="113" t="s">
        <v>68</v>
      </c>
      <c r="E97" s="113" t="s">
        <v>4</v>
      </c>
      <c r="F97" s="115" t="s">
        <v>4</v>
      </c>
      <c r="I97" s="67" t="s">
        <v>89</v>
      </c>
      <c r="J97" s="68">
        <v>1.9870000000000001</v>
      </c>
      <c r="K97" s="67">
        <v>1.7399999999999999E-2</v>
      </c>
      <c r="M97" s="74" t="s">
        <v>96</v>
      </c>
      <c r="N97" s="74">
        <v>4.5</v>
      </c>
    </row>
    <row r="98" spans="1:14" ht="15" customHeight="1" x14ac:dyDescent="0.25">
      <c r="A98" s="112"/>
      <c r="B98" s="113"/>
      <c r="C98" s="114"/>
      <c r="D98" s="113"/>
      <c r="E98" s="113"/>
      <c r="F98" s="115"/>
      <c r="I98" s="67" t="s">
        <v>90</v>
      </c>
      <c r="J98" s="68">
        <v>5.8879999999999999</v>
      </c>
      <c r="K98" s="67">
        <v>1.8100000000000002E-2</v>
      </c>
      <c r="M98" s="74" t="s">
        <v>97</v>
      </c>
      <c r="N98" s="74">
        <v>15</v>
      </c>
    </row>
    <row r="99" spans="1:14" ht="18" customHeight="1" x14ac:dyDescent="0.25">
      <c r="C99" s="14"/>
      <c r="D99" s="14"/>
      <c r="E99" s="14"/>
      <c r="F99" s="14"/>
      <c r="G99" s="14"/>
      <c r="H99"/>
      <c r="I99" s="67" t="s">
        <v>91</v>
      </c>
      <c r="J99" s="69">
        <v>431.4</v>
      </c>
      <c r="K99" s="67">
        <v>2.5999999999999999E-3</v>
      </c>
      <c r="M99" s="74" t="s">
        <v>98</v>
      </c>
      <c r="N99" s="74">
        <f>N98-N97</f>
        <v>10.5</v>
      </c>
    </row>
    <row r="100" spans="1:14" x14ac:dyDescent="0.25">
      <c r="C100" s="14"/>
      <c r="D100" s="14"/>
      <c r="E100" s="14"/>
      <c r="F100" s="14"/>
      <c r="G100" s="14"/>
    </row>
    <row r="101" spans="1:14" x14ac:dyDescent="0.25">
      <c r="C101" s="14"/>
      <c r="D101" t="s">
        <v>88</v>
      </c>
      <c r="E101" s="14"/>
      <c r="G101" s="14"/>
    </row>
    <row r="102" spans="1:14" ht="15.75" thickBot="1" x14ac:dyDescent="0.3">
      <c r="C102" s="14"/>
      <c r="D102" s="14"/>
      <c r="E102" s="14"/>
      <c r="F102" s="14"/>
      <c r="G102" s="14"/>
    </row>
    <row r="103" spans="1:14" ht="18" x14ac:dyDescent="0.25">
      <c r="A103" s="104" t="s">
        <v>34</v>
      </c>
      <c r="B103" s="52" t="s">
        <v>36</v>
      </c>
      <c r="C103" s="12">
        <v>0.5</v>
      </c>
      <c r="D103" s="13" t="s">
        <v>40</v>
      </c>
      <c r="E103" s="2"/>
      <c r="F103" s="2"/>
      <c r="G103" s="2"/>
    </row>
    <row r="104" spans="1:14" ht="18" customHeight="1" x14ac:dyDescent="0.25">
      <c r="A104" s="105"/>
      <c r="B104" s="3" t="s">
        <v>58</v>
      </c>
      <c r="C104" s="4">
        <v>30</v>
      </c>
      <c r="D104" s="8" t="s">
        <v>40</v>
      </c>
      <c r="E104" s="2"/>
      <c r="F104" s="2"/>
      <c r="G104" s="2"/>
    </row>
    <row r="105" spans="1:14" ht="18" x14ac:dyDescent="0.25">
      <c r="A105" s="105"/>
      <c r="B105" s="47" t="s">
        <v>35</v>
      </c>
      <c r="C105" s="48">
        <v>8</v>
      </c>
      <c r="D105" s="53" t="s">
        <v>40</v>
      </c>
      <c r="E105" s="51" t="s">
        <v>77</v>
      </c>
      <c r="F105" s="4">
        <v>8</v>
      </c>
      <c r="G105" s="4"/>
    </row>
    <row r="106" spans="1:14" ht="20.25" customHeight="1" x14ac:dyDescent="0.25">
      <c r="A106" s="105"/>
      <c r="B106" s="3" t="s">
        <v>37</v>
      </c>
      <c r="C106" s="4">
        <v>100</v>
      </c>
      <c r="D106" s="8" t="s">
        <v>40</v>
      </c>
      <c r="E106" s="51" t="s">
        <v>74</v>
      </c>
      <c r="F106" s="4">
        <v>35</v>
      </c>
      <c r="G106" s="4"/>
    </row>
    <row r="107" spans="1:14" ht="18" x14ac:dyDescent="0.25">
      <c r="A107" s="105"/>
      <c r="B107" s="3" t="s">
        <v>39</v>
      </c>
      <c r="C107" s="4">
        <v>12</v>
      </c>
      <c r="D107" s="8" t="s">
        <v>40</v>
      </c>
      <c r="E107" s="51" t="s">
        <v>75</v>
      </c>
      <c r="F107" s="4">
        <v>160</v>
      </c>
      <c r="G107" s="4"/>
    </row>
    <row r="108" spans="1:14" ht="28.5" customHeight="1" x14ac:dyDescent="0.25">
      <c r="A108" s="106"/>
      <c r="B108" s="50" t="s">
        <v>38</v>
      </c>
      <c r="C108" s="29">
        <v>60</v>
      </c>
      <c r="D108" s="30" t="s">
        <v>40</v>
      </c>
      <c r="E108" s="51" t="s">
        <v>76</v>
      </c>
      <c r="F108" s="4">
        <v>900</v>
      </c>
      <c r="G108" s="4"/>
    </row>
    <row r="109" spans="1:14" ht="28.5" customHeight="1" x14ac:dyDescent="0.25">
      <c r="A109" s="106"/>
      <c r="B109" s="55" t="s">
        <v>82</v>
      </c>
      <c r="C109" s="29" t="s">
        <v>4</v>
      </c>
      <c r="D109" s="30" t="s">
        <v>4</v>
      </c>
      <c r="E109" s="2"/>
      <c r="F109" s="2"/>
      <c r="G109" s="2"/>
    </row>
    <row r="110" spans="1:14" ht="29.25" customHeight="1" x14ac:dyDescent="0.25">
      <c r="A110" s="106"/>
      <c r="B110" s="4" t="s">
        <v>79</v>
      </c>
      <c r="C110" s="29" t="s">
        <v>4</v>
      </c>
      <c r="D110" s="30" t="s">
        <v>4</v>
      </c>
      <c r="E110" s="2"/>
      <c r="F110" s="2"/>
      <c r="G110" s="2"/>
    </row>
    <row r="111" spans="1:14" ht="25.5" customHeight="1" thickBot="1" x14ac:dyDescent="0.3">
      <c r="A111" s="107"/>
      <c r="B111" s="54" t="s">
        <v>80</v>
      </c>
      <c r="C111" s="9" t="s">
        <v>4</v>
      </c>
      <c r="D111" s="11" t="s">
        <v>4</v>
      </c>
      <c r="E111" s="2"/>
      <c r="F111" s="2"/>
      <c r="G111" s="2"/>
    </row>
    <row r="112" spans="1:14" x14ac:dyDescent="0.25">
      <c r="A112" s="109" t="s">
        <v>102</v>
      </c>
      <c r="B112" s="110"/>
      <c r="C112" s="72" t="s">
        <v>93</v>
      </c>
      <c r="D112" s="71"/>
      <c r="E112" s="40" t="s">
        <v>61</v>
      </c>
      <c r="F112" s="40" t="s">
        <v>62</v>
      </c>
      <c r="G112" s="14"/>
    </row>
    <row r="113" spans="1:7" x14ac:dyDescent="0.25">
      <c r="A113" s="92" t="s">
        <v>13</v>
      </c>
      <c r="B113" s="88" t="s">
        <v>11</v>
      </c>
      <c r="C113" s="87">
        <f>$C$103*$J$97</f>
        <v>0.99350000000000005</v>
      </c>
      <c r="D113" s="88" t="s">
        <v>5</v>
      </c>
      <c r="E113" s="88">
        <v>1</v>
      </c>
      <c r="F113" s="87">
        <f>$C$113*$E$113</f>
        <v>0.99350000000000005</v>
      </c>
      <c r="G113" s="14"/>
    </row>
    <row r="114" spans="1:7" ht="31.5" customHeight="1" x14ac:dyDescent="0.25">
      <c r="A114" s="92"/>
      <c r="B114" s="88"/>
      <c r="C114" s="87"/>
      <c r="D114" s="88"/>
      <c r="E114" s="88"/>
      <c r="F114" s="87"/>
      <c r="G114" s="14"/>
    </row>
    <row r="115" spans="1:7" x14ac:dyDescent="0.25">
      <c r="A115" s="93"/>
      <c r="B115" s="94"/>
      <c r="C115" s="94"/>
      <c r="D115" s="95"/>
      <c r="E115" s="40" t="s">
        <v>61</v>
      </c>
      <c r="F115" s="73" t="s">
        <v>62</v>
      </c>
      <c r="G115" s="14"/>
    </row>
    <row r="116" spans="1:7" x14ac:dyDescent="0.25">
      <c r="A116" s="92" t="s">
        <v>54</v>
      </c>
      <c r="B116" s="86" t="s">
        <v>12</v>
      </c>
      <c r="C116" s="87">
        <f>$C$105*$K$97*$J$97</f>
        <v>0.27659040000000001</v>
      </c>
      <c r="D116" s="88" t="s">
        <v>5</v>
      </c>
      <c r="E116" s="88">
        <v>1</v>
      </c>
      <c r="F116" s="87">
        <f>$C$116*$E$116</f>
        <v>0.27659040000000001</v>
      </c>
    </row>
    <row r="117" spans="1:7" ht="30.75" customHeight="1" x14ac:dyDescent="0.25">
      <c r="A117" s="92"/>
      <c r="B117" s="86"/>
      <c r="C117" s="87"/>
      <c r="D117" s="88"/>
      <c r="E117" s="88"/>
      <c r="F117" s="87"/>
    </row>
    <row r="118" spans="1:7" x14ac:dyDescent="0.25">
      <c r="A118" s="93"/>
      <c r="B118" s="94"/>
      <c r="C118" s="94"/>
      <c r="D118" s="95"/>
      <c r="E118" s="40" t="s">
        <v>61</v>
      </c>
      <c r="F118" s="73" t="s">
        <v>62</v>
      </c>
    </row>
    <row r="119" spans="1:7" x14ac:dyDescent="0.25">
      <c r="A119" s="97" t="s">
        <v>60</v>
      </c>
      <c r="B119" s="86" t="s">
        <v>12</v>
      </c>
      <c r="C119" s="87">
        <f>$C$106*$K$98*$J$98</f>
        <v>10.65728</v>
      </c>
      <c r="D119" s="88" t="s">
        <v>5</v>
      </c>
      <c r="E119" s="88">
        <v>1</v>
      </c>
      <c r="F119" s="87">
        <f>$C$119*$E$119</f>
        <v>10.65728</v>
      </c>
    </row>
    <row r="120" spans="1:7" ht="29.25" customHeight="1" x14ac:dyDescent="0.25">
      <c r="A120" s="97"/>
      <c r="B120" s="86"/>
      <c r="C120" s="87"/>
      <c r="D120" s="88"/>
      <c r="E120" s="88"/>
      <c r="F120" s="87"/>
    </row>
    <row r="121" spans="1:7" x14ac:dyDescent="0.25">
      <c r="A121" s="93"/>
      <c r="B121" s="94"/>
      <c r="C121" s="94"/>
      <c r="D121" s="95"/>
      <c r="E121" s="40" t="s">
        <v>61</v>
      </c>
      <c r="F121" s="73" t="s">
        <v>62</v>
      </c>
    </row>
    <row r="122" spans="1:7" x14ac:dyDescent="0.25">
      <c r="A122" s="97" t="s">
        <v>59</v>
      </c>
      <c r="B122" s="86" t="s">
        <v>12</v>
      </c>
      <c r="C122" s="87">
        <f>$C$105*$K$98*$J$98</f>
        <v>0.85258240000000007</v>
      </c>
      <c r="D122" s="88" t="s">
        <v>5</v>
      </c>
      <c r="E122" s="88">
        <v>3</v>
      </c>
      <c r="F122" s="87">
        <f>$C$122*$E$122</f>
        <v>2.5577472000000001</v>
      </c>
    </row>
    <row r="123" spans="1:7" ht="30.75" customHeight="1" x14ac:dyDescent="0.25">
      <c r="A123" s="99"/>
      <c r="B123" s="100"/>
      <c r="C123" s="87"/>
      <c r="D123" s="88"/>
      <c r="E123" s="88"/>
      <c r="F123" s="87"/>
    </row>
    <row r="124" spans="1:7" x14ac:dyDescent="0.25">
      <c r="A124" s="101"/>
      <c r="B124" s="102"/>
      <c r="C124" s="102"/>
      <c r="D124" s="103"/>
      <c r="E124" s="40" t="s">
        <v>61</v>
      </c>
      <c r="F124" s="73" t="s">
        <v>62</v>
      </c>
    </row>
    <row r="125" spans="1:7" x14ac:dyDescent="0.25">
      <c r="A125" s="97" t="s">
        <v>56</v>
      </c>
      <c r="B125" s="86" t="s">
        <v>12</v>
      </c>
      <c r="C125" s="98">
        <f>$C$104*$K$98*$J$98</f>
        <v>3.197184</v>
      </c>
      <c r="D125" s="88" t="s">
        <v>5</v>
      </c>
      <c r="E125" s="88">
        <v>4</v>
      </c>
      <c r="F125" s="87">
        <f>$C$125*$E$125</f>
        <v>12.788736</v>
      </c>
    </row>
    <row r="126" spans="1:7" ht="30.75" customHeight="1" x14ac:dyDescent="0.25">
      <c r="A126" s="97"/>
      <c r="B126" s="86"/>
      <c r="C126" s="98"/>
      <c r="D126" s="88"/>
      <c r="E126" s="88"/>
      <c r="F126" s="87"/>
    </row>
    <row r="127" spans="1:7" x14ac:dyDescent="0.25">
      <c r="A127" s="93"/>
      <c r="B127" s="94"/>
      <c r="C127" s="94"/>
      <c r="D127" s="95"/>
      <c r="E127" s="40" t="s">
        <v>61</v>
      </c>
      <c r="F127" s="73" t="s">
        <v>62</v>
      </c>
    </row>
    <row r="128" spans="1:7" x14ac:dyDescent="0.25">
      <c r="A128" s="97" t="s">
        <v>55</v>
      </c>
      <c r="B128" s="86" t="s">
        <v>12</v>
      </c>
      <c r="C128" s="98">
        <f>$C$108*$J$98*$K$98</f>
        <v>6.3943680000000001</v>
      </c>
      <c r="D128" s="88" t="s">
        <v>5</v>
      </c>
      <c r="E128" s="88">
        <v>2</v>
      </c>
      <c r="F128" s="87">
        <f>$C$128*$E$128</f>
        <v>12.788736</v>
      </c>
    </row>
    <row r="129" spans="1:6" ht="30" customHeight="1" x14ac:dyDescent="0.25">
      <c r="A129" s="97"/>
      <c r="B129" s="86"/>
      <c r="C129" s="98"/>
      <c r="D129" s="88"/>
      <c r="E129" s="88"/>
      <c r="F129" s="87"/>
    </row>
    <row r="130" spans="1:6" x14ac:dyDescent="0.25">
      <c r="A130" s="93"/>
      <c r="B130" s="94"/>
      <c r="C130" s="94"/>
      <c r="D130" s="95"/>
      <c r="E130" s="40" t="s">
        <v>61</v>
      </c>
      <c r="F130" s="73" t="s">
        <v>62</v>
      </c>
    </row>
    <row r="131" spans="1:6" x14ac:dyDescent="0.25">
      <c r="A131" s="111" t="s">
        <v>48</v>
      </c>
      <c r="B131" s="88" t="s">
        <v>49</v>
      </c>
      <c r="C131" s="87">
        <f>$C$107*$J$98</f>
        <v>70.656000000000006</v>
      </c>
      <c r="D131" s="88" t="s">
        <v>5</v>
      </c>
      <c r="E131" s="88">
        <v>1</v>
      </c>
      <c r="F131" s="87">
        <f>$C$131*$E$131</f>
        <v>70.656000000000006</v>
      </c>
    </row>
    <row r="132" spans="1:6" ht="24" customHeight="1" x14ac:dyDescent="0.25">
      <c r="A132" s="111"/>
      <c r="B132" s="88"/>
      <c r="C132" s="87"/>
      <c r="D132" s="88"/>
      <c r="E132" s="88"/>
      <c r="F132" s="87"/>
    </row>
    <row r="133" spans="1:6" x14ac:dyDescent="0.25">
      <c r="A133" s="93"/>
      <c r="B133" s="94"/>
      <c r="C133" s="94"/>
      <c r="D133" s="95"/>
      <c r="E133" s="40" t="s">
        <v>61</v>
      </c>
      <c r="F133" s="73" t="s">
        <v>62</v>
      </c>
    </row>
    <row r="134" spans="1:6" x14ac:dyDescent="0.25">
      <c r="A134" s="92" t="s">
        <v>52</v>
      </c>
      <c r="B134" s="88" t="s">
        <v>10</v>
      </c>
      <c r="C134" s="87">
        <f>$K$97*$C$36*$J$97</f>
        <v>1.03051564828614</v>
      </c>
      <c r="D134" s="88" t="s">
        <v>5</v>
      </c>
      <c r="E134" s="88">
        <v>1</v>
      </c>
      <c r="F134" s="87">
        <f>$C$134*$E$134</f>
        <v>1.03051564828614</v>
      </c>
    </row>
    <row r="135" spans="1:6" ht="24" customHeight="1" x14ac:dyDescent="0.25">
      <c r="A135" s="92"/>
      <c r="B135" s="88"/>
      <c r="C135" s="87"/>
      <c r="D135" s="88"/>
      <c r="E135" s="88"/>
      <c r="F135" s="87"/>
    </row>
    <row r="136" spans="1:6" x14ac:dyDescent="0.25">
      <c r="A136" s="93"/>
      <c r="B136" s="94"/>
      <c r="C136" s="94"/>
      <c r="D136" s="95"/>
      <c r="E136" s="40" t="s">
        <v>61</v>
      </c>
      <c r="F136" s="73" t="s">
        <v>62</v>
      </c>
    </row>
    <row r="137" spans="1:6" x14ac:dyDescent="0.25">
      <c r="A137" s="97" t="s">
        <v>50</v>
      </c>
      <c r="B137" s="88" t="s">
        <v>10</v>
      </c>
      <c r="C137" s="87">
        <f>$K$98*$J$98*$C$28</f>
        <v>20.00584434884631</v>
      </c>
      <c r="D137" s="88" t="s">
        <v>5</v>
      </c>
      <c r="E137" s="88">
        <v>1</v>
      </c>
      <c r="F137" s="87">
        <f>$C$137*$E$137</f>
        <v>20.00584434884631</v>
      </c>
    </row>
    <row r="138" spans="1:6" ht="33" customHeight="1" x14ac:dyDescent="0.25">
      <c r="A138" s="97"/>
      <c r="B138" s="88"/>
      <c r="C138" s="87"/>
      <c r="D138" s="88"/>
      <c r="E138" s="88"/>
      <c r="F138" s="87"/>
    </row>
    <row r="139" spans="1:6" x14ac:dyDescent="0.25">
      <c r="A139" s="91" t="s">
        <v>95</v>
      </c>
      <c r="B139" s="90">
        <f>F137+F134+F131+F128+F125+F122+F119+F116+F113</f>
        <v>131.75494959713245</v>
      </c>
    </row>
    <row r="140" spans="1:6" x14ac:dyDescent="0.25">
      <c r="A140" s="91"/>
      <c r="B140" s="91"/>
    </row>
    <row r="142" spans="1:6" x14ac:dyDescent="0.25">
      <c r="B142"/>
    </row>
    <row r="147" spans="1:7" ht="17.25" x14ac:dyDescent="0.25">
      <c r="A147" s="75" t="s">
        <v>100</v>
      </c>
      <c r="B147" s="76">
        <f>((($C$97/$C$13)-$N$99)/$B$139)^(1/3)</f>
        <v>0.63465492209932717</v>
      </c>
      <c r="F147" s="89" t="s">
        <v>104</v>
      </c>
      <c r="G147" s="90">
        <f>F151+F154+F157+F163+F166</f>
        <v>15.941924448286141</v>
      </c>
    </row>
    <row r="148" spans="1:7" x14ac:dyDescent="0.25">
      <c r="A148" s="75" t="s">
        <v>101</v>
      </c>
      <c r="B148" s="76">
        <f>$B$147*448.831</f>
        <v>284.8528033407631</v>
      </c>
      <c r="F148" s="89"/>
      <c r="G148" s="91"/>
    </row>
    <row r="149" spans="1:7" ht="15.75" thickBot="1" x14ac:dyDescent="0.3"/>
    <row r="150" spans="1:7" x14ac:dyDescent="0.25">
      <c r="A150" s="109" t="s">
        <v>103</v>
      </c>
      <c r="B150" s="110"/>
      <c r="C150" s="72" t="s">
        <v>93</v>
      </c>
      <c r="D150" s="71"/>
      <c r="E150" s="40" t="s">
        <v>61</v>
      </c>
      <c r="F150" s="40" t="s">
        <v>62</v>
      </c>
    </row>
    <row r="151" spans="1:7" x14ac:dyDescent="0.25">
      <c r="A151" s="92" t="s">
        <v>13</v>
      </c>
      <c r="B151" s="88" t="s">
        <v>11</v>
      </c>
      <c r="C151" s="87">
        <f>$C$103*$J$97</f>
        <v>0.99350000000000005</v>
      </c>
      <c r="D151" s="88" t="s">
        <v>5</v>
      </c>
      <c r="E151" s="88">
        <v>1</v>
      </c>
      <c r="F151" s="87">
        <f>$C$113*$E$113</f>
        <v>0.99350000000000005</v>
      </c>
    </row>
    <row r="152" spans="1:7" ht="28.5" customHeight="1" x14ac:dyDescent="0.25">
      <c r="A152" s="92"/>
      <c r="B152" s="88"/>
      <c r="C152" s="87"/>
      <c r="D152" s="88"/>
      <c r="E152" s="88"/>
      <c r="F152" s="87"/>
    </row>
    <row r="153" spans="1:7" ht="28.5" customHeight="1" x14ac:dyDescent="0.25">
      <c r="A153" s="93"/>
      <c r="B153" s="94"/>
      <c r="C153" s="94"/>
      <c r="D153" s="95"/>
      <c r="E153" s="40" t="s">
        <v>61</v>
      </c>
      <c r="F153" s="73" t="s">
        <v>62</v>
      </c>
    </row>
    <row r="154" spans="1:7" x14ac:dyDescent="0.25">
      <c r="A154" s="92" t="s">
        <v>54</v>
      </c>
      <c r="B154" s="86" t="s">
        <v>12</v>
      </c>
      <c r="C154" s="87">
        <f>$C$105*$K$97*$J$97</f>
        <v>0.27659040000000001</v>
      </c>
      <c r="D154" s="88" t="s">
        <v>5</v>
      </c>
      <c r="E154" s="88">
        <v>1</v>
      </c>
      <c r="F154" s="87">
        <f>$C$116*$E$116</f>
        <v>0.27659040000000001</v>
      </c>
    </row>
    <row r="155" spans="1:7" ht="27" customHeight="1" x14ac:dyDescent="0.25">
      <c r="A155" s="92"/>
      <c r="B155" s="86"/>
      <c r="C155" s="87"/>
      <c r="D155" s="88"/>
      <c r="E155" s="88"/>
      <c r="F155" s="87"/>
    </row>
    <row r="156" spans="1:7" x14ac:dyDescent="0.25">
      <c r="A156" s="93"/>
      <c r="B156" s="94"/>
      <c r="C156" s="94"/>
      <c r="D156" s="95"/>
      <c r="E156" s="40" t="s">
        <v>61</v>
      </c>
      <c r="F156" s="73" t="s">
        <v>62</v>
      </c>
    </row>
    <row r="157" spans="1:7" x14ac:dyDescent="0.25">
      <c r="A157" s="97" t="s">
        <v>59</v>
      </c>
      <c r="B157" s="86" t="s">
        <v>12</v>
      </c>
      <c r="C157" s="87">
        <f>$C$105*$K$98*$J$98</f>
        <v>0.85258240000000007</v>
      </c>
      <c r="D157" s="88" t="s">
        <v>5</v>
      </c>
      <c r="E157" s="88">
        <v>1</v>
      </c>
      <c r="F157" s="87">
        <f>C157*E157</f>
        <v>0.85258240000000007</v>
      </c>
    </row>
    <row r="158" spans="1:7" ht="24" customHeight="1" x14ac:dyDescent="0.25">
      <c r="A158" s="99"/>
      <c r="B158" s="100"/>
      <c r="C158" s="87"/>
      <c r="D158" s="88"/>
      <c r="E158" s="88"/>
      <c r="F158" s="87"/>
    </row>
    <row r="159" spans="1:7" x14ac:dyDescent="0.25">
      <c r="A159" s="101"/>
      <c r="B159" s="102"/>
      <c r="C159" s="102"/>
      <c r="D159" s="103"/>
      <c r="E159" s="40" t="s">
        <v>61</v>
      </c>
      <c r="F159" s="73" t="s">
        <v>62</v>
      </c>
    </row>
    <row r="160" spans="1:7" x14ac:dyDescent="0.25">
      <c r="A160" s="96" t="s">
        <v>72</v>
      </c>
      <c r="B160" s="86" t="s">
        <v>12</v>
      </c>
      <c r="C160" s="98">
        <f>C104*K99*J99</f>
        <v>33.6492</v>
      </c>
      <c r="D160" s="88" t="s">
        <v>5</v>
      </c>
      <c r="E160" s="88">
        <v>2</v>
      </c>
      <c r="F160" s="87">
        <f>C160*E160</f>
        <v>67.298400000000001</v>
      </c>
    </row>
    <row r="161" spans="1:6" ht="26.25" customHeight="1" x14ac:dyDescent="0.25">
      <c r="A161" s="96"/>
      <c r="B161" s="86"/>
      <c r="C161" s="98"/>
      <c r="D161" s="88"/>
      <c r="E161" s="88"/>
      <c r="F161" s="87"/>
    </row>
    <row r="162" spans="1:6" x14ac:dyDescent="0.25">
      <c r="A162" s="93"/>
      <c r="B162" s="94"/>
      <c r="C162" s="94"/>
      <c r="D162" s="95"/>
      <c r="E162" s="40" t="s">
        <v>61</v>
      </c>
      <c r="F162" s="73" t="s">
        <v>62</v>
      </c>
    </row>
    <row r="163" spans="1:6" x14ac:dyDescent="0.25">
      <c r="A163" s="97" t="s">
        <v>55</v>
      </c>
      <c r="B163" s="86" t="s">
        <v>12</v>
      </c>
      <c r="C163" s="98">
        <f>$C$108*$J$98*$K$98</f>
        <v>6.3943680000000001</v>
      </c>
      <c r="D163" s="88" t="s">
        <v>5</v>
      </c>
      <c r="E163" s="88">
        <v>2</v>
      </c>
      <c r="F163" s="87">
        <f>$C$128*$E$128</f>
        <v>12.788736</v>
      </c>
    </row>
    <row r="164" spans="1:6" ht="36.75" customHeight="1" x14ac:dyDescent="0.25">
      <c r="A164" s="97"/>
      <c r="B164" s="86"/>
      <c r="C164" s="98"/>
      <c r="D164" s="88"/>
      <c r="E164" s="88"/>
      <c r="F164" s="87"/>
    </row>
    <row r="165" spans="1:6" x14ac:dyDescent="0.25">
      <c r="A165" s="93"/>
      <c r="B165" s="94"/>
      <c r="C165" s="94"/>
      <c r="D165" s="95"/>
      <c r="E165" s="40" t="s">
        <v>61</v>
      </c>
      <c r="F165" s="73" t="s">
        <v>62</v>
      </c>
    </row>
    <row r="166" spans="1:6" x14ac:dyDescent="0.25">
      <c r="A166" s="92" t="s">
        <v>52</v>
      </c>
      <c r="B166" s="88" t="s">
        <v>10</v>
      </c>
      <c r="C166" s="87">
        <f>$K$97*$C$36*$J$97</f>
        <v>1.03051564828614</v>
      </c>
      <c r="D166" s="88" t="s">
        <v>5</v>
      </c>
      <c r="E166" s="88">
        <v>1</v>
      </c>
      <c r="F166" s="87">
        <f>$C$134*$E$134</f>
        <v>1.03051564828614</v>
      </c>
    </row>
    <row r="167" spans="1:6" ht="28.5" customHeight="1" x14ac:dyDescent="0.25">
      <c r="A167" s="92"/>
      <c r="B167" s="88"/>
      <c r="C167" s="87"/>
      <c r="D167" s="88"/>
      <c r="E167" s="88"/>
      <c r="F167" s="87"/>
    </row>
    <row r="168" spans="1:6" x14ac:dyDescent="0.25">
      <c r="A168" s="93"/>
      <c r="B168" s="94"/>
      <c r="C168" s="94"/>
      <c r="D168" s="95"/>
      <c r="E168" s="40" t="s">
        <v>61</v>
      </c>
      <c r="F168" s="73" t="s">
        <v>62</v>
      </c>
    </row>
    <row r="169" spans="1:6" x14ac:dyDescent="0.25">
      <c r="A169" s="96" t="s">
        <v>51</v>
      </c>
      <c r="B169" s="88" t="s">
        <v>10</v>
      </c>
      <c r="C169" s="87">
        <f>K99*J99*C20</f>
        <v>385.00228832951939</v>
      </c>
      <c r="D169" s="88" t="s">
        <v>5</v>
      </c>
      <c r="E169" s="88">
        <v>1</v>
      </c>
      <c r="F169" s="87">
        <f>C169*E169</f>
        <v>385.00228832951939</v>
      </c>
    </row>
    <row r="170" spans="1:6" ht="24.75" customHeight="1" x14ac:dyDescent="0.25">
      <c r="A170" s="96"/>
      <c r="B170" s="88"/>
      <c r="C170" s="87"/>
      <c r="D170" s="88"/>
      <c r="E170" s="88"/>
      <c r="F170" s="87"/>
    </row>
    <row r="171" spans="1:6" x14ac:dyDescent="0.25">
      <c r="A171" s="93"/>
      <c r="B171" s="94"/>
      <c r="C171" s="94"/>
      <c r="D171" s="95"/>
      <c r="E171" s="40" t="s">
        <v>61</v>
      </c>
      <c r="F171" s="73" t="s">
        <v>62</v>
      </c>
    </row>
    <row r="172" spans="1:6" x14ac:dyDescent="0.25">
      <c r="A172" s="85" t="s">
        <v>73</v>
      </c>
      <c r="B172" s="86" t="s">
        <v>12</v>
      </c>
      <c r="C172" s="87">
        <f>F6*K99*J99</f>
        <v>8.9731199999999998</v>
      </c>
      <c r="D172" s="88" t="s">
        <v>5</v>
      </c>
      <c r="E172" s="88">
        <v>1</v>
      </c>
      <c r="F172" s="87">
        <f>C172*E172</f>
        <v>8.9731199999999998</v>
      </c>
    </row>
    <row r="173" spans="1:6" ht="25.5" customHeight="1" x14ac:dyDescent="0.25">
      <c r="A173" s="85"/>
      <c r="B173" s="86"/>
      <c r="C173" s="87"/>
      <c r="D173" s="88"/>
      <c r="E173" s="88"/>
      <c r="F173" s="87"/>
    </row>
    <row r="174" spans="1:6" x14ac:dyDescent="0.25">
      <c r="A174" s="91" t="s">
        <v>105</v>
      </c>
      <c r="B174" s="90">
        <f>F172+F169+F166+F163+F160+F157+F154+F151</f>
        <v>477.2157327778055</v>
      </c>
    </row>
    <row r="175" spans="1:6" x14ac:dyDescent="0.25">
      <c r="A175" s="91"/>
      <c r="B175" s="91"/>
    </row>
    <row r="182" spans="1:20" ht="18" x14ac:dyDescent="0.25">
      <c r="A182" s="75" t="s">
        <v>107</v>
      </c>
      <c r="B182" s="76">
        <f>(((C97/C13)-N99)/B174)^(1/3)</f>
        <v>0.4132584235454182</v>
      </c>
    </row>
    <row r="183" spans="1:20" x14ac:dyDescent="0.25">
      <c r="A183" s="75" t="s">
        <v>101</v>
      </c>
      <c r="B183" s="76">
        <f>B182*448.831</f>
        <v>185.4831914983136</v>
      </c>
    </row>
    <row r="186" spans="1:20" ht="18" x14ac:dyDescent="0.25">
      <c r="A186" s="75" t="s">
        <v>106</v>
      </c>
      <c r="B186" s="76">
        <f>((($C$97/$C$13)-$N$99)/$B$139)^(1/3)</f>
        <v>0.63465492209932717</v>
      </c>
      <c r="M186" s="14"/>
    </row>
    <row r="187" spans="1:20" x14ac:dyDescent="0.25">
      <c r="A187" s="75" t="s">
        <v>101</v>
      </c>
      <c r="B187" s="76">
        <f>$B$147*448.831</f>
        <v>284.8528033407631</v>
      </c>
      <c r="H187" s="1" t="s">
        <v>113</v>
      </c>
      <c r="I187" s="1" t="s">
        <v>114</v>
      </c>
      <c r="M187" s="14"/>
    </row>
    <row r="188" spans="1:20" x14ac:dyDescent="0.25">
      <c r="H188" s="1">
        <v>470.33600000000001</v>
      </c>
      <c r="I188" s="14">
        <v>470.33600000000001</v>
      </c>
      <c r="M188" s="14"/>
    </row>
    <row r="189" spans="1:20" ht="18" customHeight="1" x14ac:dyDescent="0.25">
      <c r="A189" s="80" t="s">
        <v>108</v>
      </c>
      <c r="B189" s="81">
        <f>B187+B183</f>
        <v>470.3359948390767</v>
      </c>
      <c r="P189" s="14"/>
      <c r="Q189" s="14"/>
      <c r="R189" s="14"/>
      <c r="S189" s="14"/>
    </row>
    <row r="190" spans="1:20" x14ac:dyDescent="0.25">
      <c r="A190" s="80"/>
      <c r="B190" s="80"/>
      <c r="P190" s="14"/>
      <c r="Q190" s="84" t="s">
        <v>121</v>
      </c>
      <c r="R190" s="84"/>
      <c r="S190" s="84"/>
      <c r="T190" s="84"/>
    </row>
    <row r="191" spans="1:20" x14ac:dyDescent="0.25">
      <c r="L191" s="83" t="s">
        <v>116</v>
      </c>
      <c r="P191" s="14"/>
      <c r="Q191" s="84"/>
      <c r="R191" s="84"/>
      <c r="S191" s="84"/>
      <c r="T191" s="84"/>
    </row>
    <row r="192" spans="1:20" x14ac:dyDescent="0.25">
      <c r="L192" s="83"/>
      <c r="N192" s="14"/>
      <c r="P192" s="14"/>
      <c r="Q192" s="84"/>
      <c r="R192" s="84"/>
      <c r="S192" s="84"/>
      <c r="T192" s="84"/>
    </row>
    <row r="193" spans="1:20" x14ac:dyDescent="0.25">
      <c r="G193" s="4" t="s">
        <v>109</v>
      </c>
      <c r="H193" s="4" t="s">
        <v>110</v>
      </c>
      <c r="I193" s="4" t="s">
        <v>111</v>
      </c>
      <c r="J193" s="4" t="s">
        <v>123</v>
      </c>
      <c r="K193" s="4" t="s">
        <v>44</v>
      </c>
      <c r="L193" s="4" t="s">
        <v>119</v>
      </c>
      <c r="M193" s="4" t="s">
        <v>114</v>
      </c>
      <c r="N193" s="4" t="s">
        <v>115</v>
      </c>
      <c r="O193" s="4" t="s">
        <v>117</v>
      </c>
      <c r="Q193" s="84"/>
      <c r="R193" s="84"/>
      <c r="S193" s="84"/>
      <c r="T193" s="84"/>
    </row>
    <row r="194" spans="1:20" s="14" customFormat="1" ht="18" x14ac:dyDescent="0.25">
      <c r="A194" s="82" t="s">
        <v>118</v>
      </c>
      <c r="B194" s="82"/>
      <c r="G194" s="4">
        <v>0</v>
      </c>
      <c r="H194" s="4" t="s">
        <v>112</v>
      </c>
      <c r="I194" s="4">
        <v>0</v>
      </c>
      <c r="J194" s="4">
        <v>1.11E-2</v>
      </c>
      <c r="K194" s="4"/>
      <c r="M194" s="4">
        <f>(((($C$97/$C$13)-$N$99)/$B$174)+(($C$97/$C$13)-$N$99)/($B$139))^1/3</f>
        <v>0.10873599553088663</v>
      </c>
      <c r="N194" s="4">
        <f>(H188-I188)/H188*(100)</f>
        <v>0</v>
      </c>
      <c r="O194" s="4">
        <f>M194*448.831</f>
        <v>48.80408561012338</v>
      </c>
      <c r="P194" s="14" t="s">
        <v>120</v>
      </c>
      <c r="Q194" s="78"/>
    </row>
    <row r="195" spans="1:20" x14ac:dyDescent="0.25">
      <c r="A195" s="82"/>
      <c r="B195" s="82"/>
      <c r="G195" s="4">
        <v>1</v>
      </c>
      <c r="H195" s="77" t="s">
        <v>77</v>
      </c>
      <c r="I195" s="39">
        <v>8</v>
      </c>
      <c r="J195" s="49">
        <f>((($C$97/$C$13)-$N$99)/$B$139)^(1/3)</f>
        <v>0.63465492209932717</v>
      </c>
      <c r="K195" s="4"/>
      <c r="L195" s="49">
        <f>(((C97/C13)-N99)/B174)^(1/3)</f>
        <v>0.4132584235454182</v>
      </c>
      <c r="M195" s="4">
        <f t="shared" ref="M195:M198" si="0">(((($C$97/$C$13)-$N$99)/$B$174)+(($C$97/$C$13)-$N$99)/($B$139))^1/3</f>
        <v>0.10873599553088663</v>
      </c>
      <c r="N195" s="49" t="e">
        <f t="shared" ref="N195:N198" si="1">(H189-I189)/H189*(100)</f>
        <v>#DIV/0!</v>
      </c>
      <c r="O195" s="4">
        <f t="shared" ref="O195:O198" si="2">M195*448.831</f>
        <v>48.80408561012338</v>
      </c>
      <c r="Q195" s="78">
        <f>B183</f>
        <v>185.4831914983136</v>
      </c>
      <c r="R195" s="14"/>
      <c r="S195" s="14"/>
    </row>
    <row r="196" spans="1:20" x14ac:dyDescent="0.25">
      <c r="A196" s="82"/>
      <c r="B196" s="82"/>
      <c r="G196" s="4">
        <v>2</v>
      </c>
      <c r="H196" s="77" t="s">
        <v>74</v>
      </c>
      <c r="I196" s="39">
        <v>35</v>
      </c>
      <c r="J196" s="4" t="s">
        <v>4</v>
      </c>
      <c r="K196" s="4"/>
      <c r="L196" s="4"/>
      <c r="M196" s="4">
        <f t="shared" si="0"/>
        <v>0.10873599553088663</v>
      </c>
      <c r="N196" s="49" t="e">
        <f t="shared" si="1"/>
        <v>#DIV/0!</v>
      </c>
      <c r="O196" s="4">
        <f t="shared" si="2"/>
        <v>48.80408561012338</v>
      </c>
      <c r="Q196" s="79">
        <v>181.71779502721145</v>
      </c>
      <c r="R196" s="14"/>
      <c r="S196" s="14"/>
    </row>
    <row r="197" spans="1:20" x14ac:dyDescent="0.25">
      <c r="A197" s="82"/>
      <c r="B197" s="82"/>
      <c r="G197" s="4">
        <v>3</v>
      </c>
      <c r="H197" s="77" t="s">
        <v>75</v>
      </c>
      <c r="I197" s="39">
        <v>160</v>
      </c>
      <c r="J197" s="4" t="s">
        <v>4</v>
      </c>
      <c r="K197" s="4"/>
      <c r="L197" s="4"/>
      <c r="M197" s="4">
        <f t="shared" si="0"/>
        <v>0.10873599553088663</v>
      </c>
      <c r="N197" s="49" t="e">
        <f t="shared" si="1"/>
        <v>#DIV/0!</v>
      </c>
      <c r="O197" s="4">
        <f t="shared" si="2"/>
        <v>48.80408561012338</v>
      </c>
      <c r="Q197" s="79">
        <v>167.52699999999999</v>
      </c>
      <c r="R197" s="14"/>
      <c r="S197" s="14"/>
    </row>
    <row r="198" spans="1:20" x14ac:dyDescent="0.25">
      <c r="A198" s="82"/>
      <c r="B198" s="82"/>
      <c r="G198" s="4">
        <v>4</v>
      </c>
      <c r="H198" s="77" t="s">
        <v>76</v>
      </c>
      <c r="I198" s="39">
        <v>900</v>
      </c>
      <c r="J198" s="4" t="s">
        <v>4</v>
      </c>
      <c r="K198" s="4"/>
      <c r="L198" s="4"/>
      <c r="M198" s="4">
        <f t="shared" si="0"/>
        <v>0.10873599553088663</v>
      </c>
      <c r="N198" s="49" t="e">
        <f t="shared" si="1"/>
        <v>#DIV/0!</v>
      </c>
      <c r="O198" s="4">
        <f t="shared" si="2"/>
        <v>48.80408561012338</v>
      </c>
      <c r="Q198" s="79">
        <v>127.256</v>
      </c>
    </row>
    <row r="199" spans="1:20" x14ac:dyDescent="0.25">
      <c r="M199" s="14"/>
    </row>
  </sheetData>
  <mergeCells count="262">
    <mergeCell ref="G79:G80"/>
    <mergeCell ref="A75:D75"/>
    <mergeCell ref="E76:E77"/>
    <mergeCell ref="F76:F77"/>
    <mergeCell ref="A78:D78"/>
    <mergeCell ref="A79:A80"/>
    <mergeCell ref="E92:E93"/>
    <mergeCell ref="F92:F93"/>
    <mergeCell ref="E88:E89"/>
    <mergeCell ref="F88:F89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B70:B71"/>
    <mergeCell ref="C70:C71"/>
    <mergeCell ref="D70:D71"/>
    <mergeCell ref="A69:D69"/>
    <mergeCell ref="A82:A83"/>
    <mergeCell ref="B82:B83"/>
    <mergeCell ref="A57:D57"/>
    <mergeCell ref="A60:D60"/>
    <mergeCell ref="A92:A93"/>
    <mergeCell ref="B92:B93"/>
    <mergeCell ref="C92:C93"/>
    <mergeCell ref="D92:D93"/>
    <mergeCell ref="A81:D81"/>
    <mergeCell ref="A72:D72"/>
    <mergeCell ref="A84:D84"/>
    <mergeCell ref="A87:D87"/>
    <mergeCell ref="C79:C80"/>
    <mergeCell ref="D79:D80"/>
    <mergeCell ref="F70:F71"/>
    <mergeCell ref="F55:F56"/>
    <mergeCell ref="F82:F83"/>
    <mergeCell ref="F73:F74"/>
    <mergeCell ref="F85:F86"/>
    <mergeCell ref="F58:F59"/>
    <mergeCell ref="E55:E56"/>
    <mergeCell ref="E82:E83"/>
    <mergeCell ref="E73:E74"/>
    <mergeCell ref="E85:E86"/>
    <mergeCell ref="E58:E59"/>
    <mergeCell ref="E70:E71"/>
    <mergeCell ref="E79:E80"/>
    <mergeCell ref="F79:F80"/>
    <mergeCell ref="F49:F50"/>
    <mergeCell ref="F52:F53"/>
    <mergeCell ref="F64:F65"/>
    <mergeCell ref="F67:F68"/>
    <mergeCell ref="A58:A59"/>
    <mergeCell ref="B58:B59"/>
    <mergeCell ref="C58:C59"/>
    <mergeCell ref="D58:D59"/>
    <mergeCell ref="E46:E47"/>
    <mergeCell ref="E49:E50"/>
    <mergeCell ref="E52:E53"/>
    <mergeCell ref="E64:E65"/>
    <mergeCell ref="E67:E68"/>
    <mergeCell ref="A49:A50"/>
    <mergeCell ref="B49:B50"/>
    <mergeCell ref="C49:C50"/>
    <mergeCell ref="D49:D50"/>
    <mergeCell ref="A51:D51"/>
    <mergeCell ref="E61:E62"/>
    <mergeCell ref="F61:F62"/>
    <mergeCell ref="A48:D48"/>
    <mergeCell ref="A52:A53"/>
    <mergeCell ref="B52:B53"/>
    <mergeCell ref="C52:C53"/>
    <mergeCell ref="D52:D53"/>
    <mergeCell ref="A54:D54"/>
    <mergeCell ref="A66:D66"/>
    <mergeCell ref="A55:A56"/>
    <mergeCell ref="B55:B56"/>
    <mergeCell ref="C55:C56"/>
    <mergeCell ref="D55:D56"/>
    <mergeCell ref="A61:A62"/>
    <mergeCell ref="B61:B62"/>
    <mergeCell ref="C61:C62"/>
    <mergeCell ref="D61:D62"/>
    <mergeCell ref="A63:D63"/>
    <mergeCell ref="A85:A86"/>
    <mergeCell ref="B85:B86"/>
    <mergeCell ref="C85:C86"/>
    <mergeCell ref="D85:D86"/>
    <mergeCell ref="B79:B80"/>
    <mergeCell ref="A64:A65"/>
    <mergeCell ref="B64:B65"/>
    <mergeCell ref="C64:C65"/>
    <mergeCell ref="D64:D65"/>
    <mergeCell ref="A67:A68"/>
    <mergeCell ref="B67:B68"/>
    <mergeCell ref="C67:C68"/>
    <mergeCell ref="D67:D68"/>
    <mergeCell ref="C82:C83"/>
    <mergeCell ref="D82:D83"/>
    <mergeCell ref="A73:A74"/>
    <mergeCell ref="B73:B74"/>
    <mergeCell ref="C73:C74"/>
    <mergeCell ref="D73:D74"/>
    <mergeCell ref="A76:A77"/>
    <mergeCell ref="B76:B77"/>
    <mergeCell ref="C76:C77"/>
    <mergeCell ref="D76:D77"/>
    <mergeCell ref="A70:A71"/>
    <mergeCell ref="A1:O1"/>
    <mergeCell ref="A46:A47"/>
    <mergeCell ref="B46:B47"/>
    <mergeCell ref="C46:C47"/>
    <mergeCell ref="D46:D47"/>
    <mergeCell ref="A45:D45"/>
    <mergeCell ref="A13:A16"/>
    <mergeCell ref="A18:A25"/>
    <mergeCell ref="A26:A33"/>
    <mergeCell ref="A34:A41"/>
    <mergeCell ref="A4:A12"/>
    <mergeCell ref="F46:F47"/>
    <mergeCell ref="A113:A114"/>
    <mergeCell ref="B113:B114"/>
    <mergeCell ref="C113:C114"/>
    <mergeCell ref="D113:D114"/>
    <mergeCell ref="E113:E114"/>
    <mergeCell ref="F113:F114"/>
    <mergeCell ref="A115:D115"/>
    <mergeCell ref="A97:A98"/>
    <mergeCell ref="B97:B98"/>
    <mergeCell ref="C97:C98"/>
    <mergeCell ref="D97:D98"/>
    <mergeCell ref="E97:E98"/>
    <mergeCell ref="F97:F98"/>
    <mergeCell ref="A116:A117"/>
    <mergeCell ref="B116:B117"/>
    <mergeCell ref="C116:C117"/>
    <mergeCell ref="D116:D117"/>
    <mergeCell ref="E116:E117"/>
    <mergeCell ref="F116:F117"/>
    <mergeCell ref="A118:D118"/>
    <mergeCell ref="A119:A120"/>
    <mergeCell ref="B119:B120"/>
    <mergeCell ref="C119:C120"/>
    <mergeCell ref="D119:D120"/>
    <mergeCell ref="E119:E120"/>
    <mergeCell ref="F119:F120"/>
    <mergeCell ref="A121:D121"/>
    <mergeCell ref="A122:A123"/>
    <mergeCell ref="B122:B123"/>
    <mergeCell ref="C122:C123"/>
    <mergeCell ref="D122:D123"/>
    <mergeCell ref="E122:E123"/>
    <mergeCell ref="F122:F123"/>
    <mergeCell ref="A124:D124"/>
    <mergeCell ref="A125:A126"/>
    <mergeCell ref="B125:B126"/>
    <mergeCell ref="C125:C126"/>
    <mergeCell ref="D125:D126"/>
    <mergeCell ref="E125:E126"/>
    <mergeCell ref="F125:F126"/>
    <mergeCell ref="M96:N96"/>
    <mergeCell ref="A112:B112"/>
    <mergeCell ref="A150:B150"/>
    <mergeCell ref="A151:A152"/>
    <mergeCell ref="B151:B152"/>
    <mergeCell ref="C151:C152"/>
    <mergeCell ref="D151:D152"/>
    <mergeCell ref="E151:E152"/>
    <mergeCell ref="F151:F152"/>
    <mergeCell ref="A133:D133"/>
    <mergeCell ref="A134:A135"/>
    <mergeCell ref="B134:B135"/>
    <mergeCell ref="C134:C135"/>
    <mergeCell ref="D134:D135"/>
    <mergeCell ref="E134:E135"/>
    <mergeCell ref="F134:F135"/>
    <mergeCell ref="A136:D136"/>
    <mergeCell ref="A137:A138"/>
    <mergeCell ref="B137:B138"/>
    <mergeCell ref="C137:C138"/>
    <mergeCell ref="D137:D138"/>
    <mergeCell ref="E137:E138"/>
    <mergeCell ref="F137:F138"/>
    <mergeCell ref="A127:D127"/>
    <mergeCell ref="A153:D153"/>
    <mergeCell ref="A154:A155"/>
    <mergeCell ref="B154:B155"/>
    <mergeCell ref="C154:C155"/>
    <mergeCell ref="D154:D155"/>
    <mergeCell ref="E154:E155"/>
    <mergeCell ref="F154:F155"/>
    <mergeCell ref="A156:D156"/>
    <mergeCell ref="A103:A111"/>
    <mergeCell ref="A139:A140"/>
    <mergeCell ref="B139:B140"/>
    <mergeCell ref="A128:A129"/>
    <mergeCell ref="B128:B129"/>
    <mergeCell ref="C128:C129"/>
    <mergeCell ref="D128:D129"/>
    <mergeCell ref="E128:E129"/>
    <mergeCell ref="F128:F129"/>
    <mergeCell ref="A130:D130"/>
    <mergeCell ref="A131:A132"/>
    <mergeCell ref="B131:B132"/>
    <mergeCell ref="C131:C132"/>
    <mergeCell ref="D131:D132"/>
    <mergeCell ref="E131:E132"/>
    <mergeCell ref="F131:F132"/>
    <mergeCell ref="F163:F164"/>
    <mergeCell ref="A165:D165"/>
    <mergeCell ref="A157:A158"/>
    <mergeCell ref="B157:B158"/>
    <mergeCell ref="C157:C158"/>
    <mergeCell ref="D157:D158"/>
    <mergeCell ref="E157:E158"/>
    <mergeCell ref="F157:F158"/>
    <mergeCell ref="A159:D159"/>
    <mergeCell ref="A160:A161"/>
    <mergeCell ref="B160:B161"/>
    <mergeCell ref="C160:C161"/>
    <mergeCell ref="D160:D161"/>
    <mergeCell ref="E160:E161"/>
    <mergeCell ref="F160:F161"/>
    <mergeCell ref="F147:F148"/>
    <mergeCell ref="G147:G148"/>
    <mergeCell ref="A174:A175"/>
    <mergeCell ref="B174:B175"/>
    <mergeCell ref="A166:A167"/>
    <mergeCell ref="B166:B167"/>
    <mergeCell ref="C166:C167"/>
    <mergeCell ref="D166:D167"/>
    <mergeCell ref="E166:E167"/>
    <mergeCell ref="F166:F167"/>
    <mergeCell ref="A168:D168"/>
    <mergeCell ref="A169:A170"/>
    <mergeCell ref="B169:B170"/>
    <mergeCell ref="C169:C170"/>
    <mergeCell ref="D169:D170"/>
    <mergeCell ref="E169:E170"/>
    <mergeCell ref="F169:F170"/>
    <mergeCell ref="A171:D171"/>
    <mergeCell ref="A162:D162"/>
    <mergeCell ref="A163:A164"/>
    <mergeCell ref="B163:B164"/>
    <mergeCell ref="C163:C164"/>
    <mergeCell ref="D163:D164"/>
    <mergeCell ref="E163:E164"/>
    <mergeCell ref="A189:A190"/>
    <mergeCell ref="B189:B190"/>
    <mergeCell ref="A194:B198"/>
    <mergeCell ref="L191:L192"/>
    <mergeCell ref="Q190:T193"/>
    <mergeCell ref="A172:A173"/>
    <mergeCell ref="B172:B173"/>
    <mergeCell ref="C172:C173"/>
    <mergeCell ref="D172:D173"/>
    <mergeCell ref="E172:E173"/>
    <mergeCell ref="F172:F17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8" r:id="rId4">
          <objectPr defaultSize="0" autoPict="0" r:id="rId5">
            <anchor moveWithCells="1" sizeWithCells="1">
              <from>
                <xdr:col>0</xdr:col>
                <xdr:colOff>104775</xdr:colOff>
                <xdr:row>98</xdr:row>
                <xdr:rowOff>180975</xdr:rowOff>
              </from>
              <to>
                <xdr:col>1</xdr:col>
                <xdr:colOff>1181100</xdr:colOff>
                <xdr:row>101</xdr:row>
                <xdr:rowOff>57150</xdr:rowOff>
              </to>
            </anchor>
          </objectPr>
        </oleObject>
      </mc:Choice>
      <mc:Fallback>
        <oleObject progId="Equation.DSMT4" shapeId="1028" r:id="rId4"/>
      </mc:Fallback>
    </mc:AlternateContent>
    <mc:AlternateContent xmlns:mc="http://schemas.openxmlformats.org/markup-compatibility/2006">
      <mc:Choice Requires="x14">
        <oleObject progId="Equation.DSMT4" shapeId="1029" r:id="rId6">
          <objectPr defaultSize="0" autoPict="0" r:id="rId7">
            <anchor moveWithCells="1" sizeWithCells="1">
              <from>
                <xdr:col>2</xdr:col>
                <xdr:colOff>180975</xdr:colOff>
                <xdr:row>99</xdr:row>
                <xdr:rowOff>38100</xdr:rowOff>
              </from>
              <to>
                <xdr:col>3</xdr:col>
                <xdr:colOff>295275</xdr:colOff>
                <xdr:row>101</xdr:row>
                <xdr:rowOff>76200</xdr:rowOff>
              </to>
            </anchor>
          </objectPr>
        </oleObject>
      </mc:Choice>
      <mc:Fallback>
        <oleObject progId="Equation.DSMT4" shapeId="1029" r:id="rId6"/>
      </mc:Fallback>
    </mc:AlternateContent>
    <mc:AlternateContent xmlns:mc="http://schemas.openxmlformats.org/markup-compatibility/2006">
      <mc:Choice Requires="x14">
        <oleObject progId="Equation.DSMT4" shapeId="1030" r:id="rId8">
          <objectPr defaultSize="0" autoPict="0" r:id="rId9">
            <anchor moveWithCells="1" sizeWithCells="1">
              <from>
                <xdr:col>6</xdr:col>
                <xdr:colOff>466725</xdr:colOff>
                <xdr:row>95</xdr:row>
                <xdr:rowOff>38100</xdr:rowOff>
              </from>
              <to>
                <xdr:col>7</xdr:col>
                <xdr:colOff>581025</xdr:colOff>
                <xdr:row>97</xdr:row>
                <xdr:rowOff>76200</xdr:rowOff>
              </to>
            </anchor>
          </objectPr>
        </oleObject>
      </mc:Choice>
      <mc:Fallback>
        <oleObject progId="Equation.DSMT4" shapeId="1030" r:id="rId8"/>
      </mc:Fallback>
    </mc:AlternateContent>
    <mc:AlternateContent xmlns:mc="http://schemas.openxmlformats.org/markup-compatibility/2006">
      <mc:Choice Requires="x14">
        <oleObject progId="Equation.DSMT4" shapeId="1031" r:id="rId10">
          <objectPr defaultSize="0" autoPict="0" r:id="rId7">
            <anchor moveWithCells="1" sizeWithCells="1">
              <from>
                <xdr:col>0</xdr:col>
                <xdr:colOff>57150</xdr:colOff>
                <xdr:row>140</xdr:row>
                <xdr:rowOff>76200</xdr:rowOff>
              </from>
              <to>
                <xdr:col>0</xdr:col>
                <xdr:colOff>971550</xdr:colOff>
                <xdr:row>142</xdr:row>
                <xdr:rowOff>114300</xdr:rowOff>
              </to>
            </anchor>
          </objectPr>
        </oleObject>
      </mc:Choice>
      <mc:Fallback>
        <oleObject progId="Equation.DSMT4" shapeId="1031" r:id="rId10"/>
      </mc:Fallback>
    </mc:AlternateContent>
    <mc:AlternateContent xmlns:mc="http://schemas.openxmlformats.org/markup-compatibility/2006">
      <mc:Choice Requires="x14">
        <oleObject progId="Equation.DSMT4" shapeId="1032" r:id="rId11">
          <objectPr defaultSize="0" autoPict="0" r:id="rId12">
            <anchor moveWithCells="1" sizeWithCells="1">
              <from>
                <xdr:col>0</xdr:col>
                <xdr:colOff>9525</xdr:colOff>
                <xdr:row>142</xdr:row>
                <xdr:rowOff>133350</xdr:rowOff>
              </from>
              <to>
                <xdr:col>0</xdr:col>
                <xdr:colOff>952500</xdr:colOff>
                <xdr:row>145</xdr:row>
                <xdr:rowOff>180975</xdr:rowOff>
              </to>
            </anchor>
          </objectPr>
        </oleObject>
      </mc:Choice>
      <mc:Fallback>
        <oleObject progId="Equation.DSMT4" shapeId="1032" r:id="rId11"/>
      </mc:Fallback>
    </mc:AlternateContent>
    <mc:AlternateContent xmlns:mc="http://schemas.openxmlformats.org/markup-compatibility/2006">
      <mc:Choice Requires="x14">
        <oleObject progId="Equation.DSMT4" shapeId="1033" r:id="rId13">
          <objectPr defaultSize="0" autoPict="0" r:id="rId7">
            <anchor moveWithCells="1" sizeWithCells="1">
              <from>
                <xdr:col>0</xdr:col>
                <xdr:colOff>57150</xdr:colOff>
                <xdr:row>175</xdr:row>
                <xdr:rowOff>76200</xdr:rowOff>
              </from>
              <to>
                <xdr:col>0</xdr:col>
                <xdr:colOff>971550</xdr:colOff>
                <xdr:row>177</xdr:row>
                <xdr:rowOff>114300</xdr:rowOff>
              </to>
            </anchor>
          </objectPr>
        </oleObject>
      </mc:Choice>
      <mc:Fallback>
        <oleObject progId="Equation.DSMT4" shapeId="1033" r:id="rId13"/>
      </mc:Fallback>
    </mc:AlternateContent>
    <mc:AlternateContent xmlns:mc="http://schemas.openxmlformats.org/markup-compatibility/2006">
      <mc:Choice Requires="x14">
        <oleObject progId="Equation.DSMT4" shapeId="1034" r:id="rId14">
          <objectPr defaultSize="0" autoPict="0" r:id="rId12">
            <anchor moveWithCells="1" sizeWithCells="1">
              <from>
                <xdr:col>0</xdr:col>
                <xdr:colOff>9525</xdr:colOff>
                <xdr:row>177</xdr:row>
                <xdr:rowOff>133350</xdr:rowOff>
              </from>
              <to>
                <xdr:col>0</xdr:col>
                <xdr:colOff>952500</xdr:colOff>
                <xdr:row>180</xdr:row>
                <xdr:rowOff>152400</xdr:rowOff>
              </to>
            </anchor>
          </objectPr>
        </oleObject>
      </mc:Choice>
      <mc:Fallback>
        <oleObject progId="Equation.DSMT4" shapeId="1034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vasquez</dc:creator>
  <cp:lastModifiedBy>john vasquez</cp:lastModifiedBy>
  <dcterms:created xsi:type="dcterms:W3CDTF">2021-10-02T23:10:02Z</dcterms:created>
  <dcterms:modified xsi:type="dcterms:W3CDTF">2021-11-24T00:23:31Z</dcterms:modified>
</cp:coreProperties>
</file>