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0758410eebdf1fc/My Documents/ODU/Fall 2023/MET 330 - Fluid Mechanics/"/>
    </mc:Choice>
  </mc:AlternateContent>
  <xr:revisionPtr revIDLastSave="504" documentId="8_{3DED557B-2C6A-4981-B455-D1C398A5EADA}" xr6:coauthVersionLast="47" xr6:coauthVersionMax="47" xr10:uidLastSave="{071C30AF-1BA1-47D4-B419-5A11FAE01682}"/>
  <bookViews>
    <workbookView xWindow="28680" yWindow="-120" windowWidth="29040" windowHeight="15720" xr2:uid="{6C56C469-3D7F-4CEE-AB16-58A06F6D16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B43" i="1" s="1"/>
  <c r="B44" i="1" s="1"/>
  <c r="B45" i="1" s="1"/>
  <c r="B41" i="1"/>
  <c r="H42" i="1"/>
  <c r="G42" i="1"/>
  <c r="H40" i="1"/>
  <c r="G41" i="1"/>
  <c r="G40" i="1"/>
  <c r="H41" i="1"/>
  <c r="I41" i="1" l="1"/>
  <c r="P41" i="1" s="1"/>
  <c r="I42" i="1"/>
  <c r="P42" i="1" s="1"/>
  <c r="I40" i="1"/>
  <c r="P40" i="1" s="1"/>
  <c r="H43" i="1" l="1"/>
  <c r="G43" i="1"/>
  <c r="I43" i="1" l="1"/>
  <c r="P43" i="1" s="1"/>
  <c r="H44" i="1" l="1"/>
  <c r="G44" i="1"/>
  <c r="I44" i="1" l="1"/>
  <c r="P44" i="1" s="1"/>
  <c r="G45" i="1" l="1"/>
  <c r="H45" i="1"/>
  <c r="D14" i="1"/>
  <c r="B14" i="1"/>
  <c r="B6" i="1"/>
  <c r="J40" i="1" l="1"/>
  <c r="M40" i="1" s="1"/>
  <c r="Q40" i="1" s="1"/>
  <c r="J42" i="1"/>
  <c r="M42" i="1" s="1"/>
  <c r="Q42" i="1" s="1"/>
  <c r="K41" i="1"/>
  <c r="N41" i="1" s="1"/>
  <c r="R41" i="1" s="1"/>
  <c r="J41" i="1"/>
  <c r="M41" i="1" s="1"/>
  <c r="Q41" i="1" s="1"/>
  <c r="L42" i="1"/>
  <c r="O42" i="1" s="1"/>
  <c r="S42" i="1" s="1"/>
  <c r="L40" i="1"/>
  <c r="O40" i="1" s="1"/>
  <c r="S40" i="1" s="1"/>
  <c r="L41" i="1"/>
  <c r="O41" i="1" s="1"/>
  <c r="S41" i="1" s="1"/>
  <c r="K40" i="1"/>
  <c r="N40" i="1" s="1"/>
  <c r="R40" i="1" s="1"/>
  <c r="K42" i="1"/>
  <c r="N42" i="1" s="1"/>
  <c r="R42" i="1" s="1"/>
  <c r="J43" i="1"/>
  <c r="M43" i="1" s="1"/>
  <c r="Q43" i="1" s="1"/>
  <c r="K43" i="1"/>
  <c r="N43" i="1" s="1"/>
  <c r="R43" i="1" s="1"/>
  <c r="L43" i="1"/>
  <c r="O43" i="1" s="1"/>
  <c r="S43" i="1" s="1"/>
  <c r="J44" i="1"/>
  <c r="M44" i="1" s="1"/>
  <c r="Q44" i="1" s="1"/>
  <c r="L44" i="1"/>
  <c r="O44" i="1" s="1"/>
  <c r="S44" i="1" s="1"/>
  <c r="K44" i="1"/>
  <c r="N44" i="1" s="1"/>
  <c r="R44" i="1" s="1"/>
  <c r="B22" i="1"/>
  <c r="B27" i="1" s="1"/>
  <c r="J45" i="1"/>
  <c r="M45" i="1" s="1"/>
  <c r="Q45" i="1" s="1"/>
  <c r="I45" i="1"/>
  <c r="L45" i="1"/>
  <c r="O45" i="1" s="1"/>
  <c r="S45" i="1" s="1"/>
  <c r="K45" i="1"/>
  <c r="N45" i="1" s="1"/>
  <c r="R45" i="1" s="1"/>
  <c r="B23" i="1"/>
  <c r="B24" i="1"/>
  <c r="B31" i="1"/>
  <c r="B52" i="1" l="1"/>
  <c r="B58" i="1" s="1"/>
  <c r="B55" i="1"/>
  <c r="B61" i="1" s="1"/>
  <c r="B54" i="1"/>
  <c r="B60" i="1" s="1"/>
  <c r="B53" i="1"/>
  <c r="B59" i="1" s="1"/>
  <c r="P45" i="1"/>
  <c r="B25" i="1"/>
  <c r="B30" i="1"/>
  <c r="B33" i="1"/>
  <c r="B29" i="1"/>
  <c r="B32" i="1"/>
  <c r="B35" i="1" s="1"/>
  <c r="B28" i="1"/>
</calcChain>
</file>

<file path=xl/sharedStrings.xml><?xml version="1.0" encoding="utf-8"?>
<sst xmlns="http://schemas.openxmlformats.org/spreadsheetml/2006/main" count="94" uniqueCount="72">
  <si>
    <t>Pa=</t>
  </si>
  <si>
    <t>Pb=</t>
  </si>
  <si>
    <t>D2=</t>
  </si>
  <si>
    <t>e=</t>
  </si>
  <si>
    <t>gamma=</t>
  </si>
  <si>
    <t>nu=</t>
  </si>
  <si>
    <t>Le/D_valve=</t>
  </si>
  <si>
    <t>Ktee=</t>
  </si>
  <si>
    <t>psig</t>
  </si>
  <si>
    <t>in</t>
  </si>
  <si>
    <t>m</t>
  </si>
  <si>
    <t>ft</t>
  </si>
  <si>
    <t>lb/ft^3</t>
  </si>
  <si>
    <t>N/m^3</t>
  </si>
  <si>
    <t>ft^2/s</t>
  </si>
  <si>
    <t>m^2/s</t>
  </si>
  <si>
    <t>Gate Valve Position</t>
  </si>
  <si>
    <t>Q1=</t>
  </si>
  <si>
    <t>gpm</t>
  </si>
  <si>
    <t>m^3/s</t>
  </si>
  <si>
    <t>Ktotal=</t>
  </si>
  <si>
    <t>Kv1=</t>
  </si>
  <si>
    <t>Kv2=</t>
  </si>
  <si>
    <t>Le/D_ChkValve</t>
  </si>
  <si>
    <t>Le/D_Elbow</t>
  </si>
  <si>
    <t>*fT</t>
  </si>
  <si>
    <t>Le/D_Tee</t>
  </si>
  <si>
    <t>fT_D1</t>
  </si>
  <si>
    <t>fT_D2</t>
  </si>
  <si>
    <t>fT_D3</t>
  </si>
  <si>
    <t>D1=</t>
  </si>
  <si>
    <t>D3=</t>
  </si>
  <si>
    <t>fT_t (d1+d2)</t>
  </si>
  <si>
    <t>Kchkvalve=</t>
  </si>
  <si>
    <t>Kelbow(d2)=</t>
  </si>
  <si>
    <t>Kelbow(d3)=</t>
  </si>
  <si>
    <t>ZD1=</t>
  </si>
  <si>
    <t>ZD2=</t>
  </si>
  <si>
    <t>Kv3=</t>
  </si>
  <si>
    <t>Ld1=</t>
  </si>
  <si>
    <t>Ld2=</t>
  </si>
  <si>
    <t>Ld3=</t>
  </si>
  <si>
    <t>LHS</t>
  </si>
  <si>
    <t>Compare</t>
  </si>
  <si>
    <t>f1</t>
  </si>
  <si>
    <t>f2</t>
  </si>
  <si>
    <t>Qt (m^3/s)</t>
  </si>
  <si>
    <t>RHS</t>
  </si>
  <si>
    <t>Re1</t>
  </si>
  <si>
    <t>Re2</t>
  </si>
  <si>
    <t>f1 (NEW)</t>
  </si>
  <si>
    <t>f2 (NEW)</t>
  </si>
  <si>
    <t>f3</t>
  </si>
  <si>
    <t>QA (m^3/s)</t>
  </si>
  <si>
    <t>QB (m^3/s)</t>
  </si>
  <si>
    <t>Re3</t>
  </si>
  <si>
    <t>f3 (NEW)</t>
  </si>
  <si>
    <t>Guess f1, f2, f3 and Qt</t>
  </si>
  <si>
    <t>valve - fully open</t>
  </si>
  <si>
    <t>valve - 1/4 open</t>
  </si>
  <si>
    <t>valve - 1/2 open</t>
  </si>
  <si>
    <t>RHS to LHS</t>
  </si>
  <si>
    <t>Kvalve - fully open =</t>
  </si>
  <si>
    <t>Kvalve - 1/4 open =</t>
  </si>
  <si>
    <t>Kvalve - 1/2 open =</t>
  </si>
  <si>
    <t>Kvalve - 3/4 open =</t>
  </si>
  <si>
    <t>Le/Dvalve - fully open =</t>
  </si>
  <si>
    <t>Le/Dvalve - 1/4 open =</t>
  </si>
  <si>
    <t>Le/Dvalve - 1/2 open =</t>
  </si>
  <si>
    <t>Le/Dvalve - 3/4 open =</t>
  </si>
  <si>
    <t>valve - 3/4 open</t>
  </si>
  <si>
    <t>Iteration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</si>
</sst>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11" fontId="0" fillId="0" borderId="0" xfId="0" applyNumberFormat="1"/>
    <xf numFmtId="9" fontId="0" fillId="0" borderId="0" xfId="1" applyFont="1"/>
    <xf numFmtId="2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2C4B0-B3C4-4575-B246-060A48038149}">
  <dimension ref="A1:S61"/>
  <sheetViews>
    <sheetView tabSelected="1" topLeftCell="A22" workbookViewId="0">
      <selection activeCell="E2" sqref="E2"/>
    </sheetView>
  </sheetViews>
  <sheetFormatPr defaultRowHeight="15" x14ac:dyDescent="0.25"/>
  <cols>
    <col min="1" max="1" width="23.42578125" bestFit="1" customWidth="1"/>
    <col min="2" max="2" width="11" bestFit="1" customWidth="1"/>
    <col min="3" max="3" width="16.7109375" customWidth="1"/>
    <col min="4" max="4" width="13.42578125" bestFit="1" customWidth="1"/>
    <col min="5" max="5" width="14.140625" bestFit="1" customWidth="1"/>
    <col min="6" max="6" width="12.42578125" customWidth="1"/>
    <col min="7" max="8" width="11.42578125" customWidth="1"/>
    <col min="10" max="10" width="13.7109375" bestFit="1" customWidth="1"/>
    <col min="11" max="11" width="12.5703125" bestFit="1" customWidth="1"/>
    <col min="16" max="16" width="10.42578125" customWidth="1"/>
  </cols>
  <sheetData>
    <row r="1" spans="1:5" x14ac:dyDescent="0.25">
      <c r="A1" t="s">
        <v>0</v>
      </c>
      <c r="B1">
        <v>0</v>
      </c>
      <c r="C1" t="s">
        <v>8</v>
      </c>
    </row>
    <row r="2" spans="1:5" x14ac:dyDescent="0.25">
      <c r="A2" t="s">
        <v>1</v>
      </c>
      <c r="B2">
        <v>0</v>
      </c>
      <c r="C2" t="s">
        <v>8</v>
      </c>
    </row>
    <row r="3" spans="1:5" x14ac:dyDescent="0.25">
      <c r="A3" t="s">
        <v>30</v>
      </c>
      <c r="B3">
        <v>4.0259999999999998</v>
      </c>
      <c r="C3" t="s">
        <v>9</v>
      </c>
      <c r="D3">
        <v>0.1023</v>
      </c>
      <c r="E3" t="s">
        <v>10</v>
      </c>
    </row>
    <row r="4" spans="1:5" x14ac:dyDescent="0.25">
      <c r="A4" t="s">
        <v>2</v>
      </c>
      <c r="B4">
        <v>3.0680000000000001</v>
      </c>
      <c r="C4" t="s">
        <v>9</v>
      </c>
      <c r="D4">
        <v>7.7899999999999997E-2</v>
      </c>
      <c r="E4" t="s">
        <v>10</v>
      </c>
    </row>
    <row r="5" spans="1:5" x14ac:dyDescent="0.25">
      <c r="A5" t="s">
        <v>31</v>
      </c>
      <c r="B5">
        <v>1.0489999999999999</v>
      </c>
      <c r="C5" t="s">
        <v>9</v>
      </c>
      <c r="D5">
        <v>2.6599999999999999E-2</v>
      </c>
      <c r="E5" t="s">
        <v>10</v>
      </c>
    </row>
    <row r="6" spans="1:5" x14ac:dyDescent="0.25">
      <c r="A6" t="s">
        <v>3</v>
      </c>
      <c r="B6">
        <f>4.6*10^-5</f>
        <v>4.6E-5</v>
      </c>
      <c r="C6" t="s">
        <v>10</v>
      </c>
    </row>
    <row r="7" spans="1:5" x14ac:dyDescent="0.25">
      <c r="A7" t="s">
        <v>39</v>
      </c>
      <c r="B7">
        <v>10</v>
      </c>
      <c r="C7" t="s">
        <v>11</v>
      </c>
      <c r="D7">
        <v>3.048</v>
      </c>
      <c r="E7" t="s">
        <v>10</v>
      </c>
    </row>
    <row r="8" spans="1:5" x14ac:dyDescent="0.25">
      <c r="A8" t="s">
        <v>40</v>
      </c>
      <c r="B8">
        <v>48</v>
      </c>
      <c r="C8" t="s">
        <v>11</v>
      </c>
      <c r="D8">
        <v>14.63</v>
      </c>
      <c r="E8" t="s">
        <v>10</v>
      </c>
    </row>
    <row r="9" spans="1:5" x14ac:dyDescent="0.25">
      <c r="A9" t="s">
        <v>41</v>
      </c>
      <c r="B9">
        <v>30</v>
      </c>
      <c r="C9" t="s">
        <v>11</v>
      </c>
      <c r="D9">
        <v>9.1440000000000001</v>
      </c>
      <c r="E9" t="s">
        <v>10</v>
      </c>
    </row>
    <row r="10" spans="1:5" x14ac:dyDescent="0.25">
      <c r="A10" t="s">
        <v>36</v>
      </c>
      <c r="B10">
        <v>4.5</v>
      </c>
      <c r="C10" t="s">
        <v>11</v>
      </c>
      <c r="D10">
        <v>1.3715999999999999</v>
      </c>
      <c r="E10" t="s">
        <v>10</v>
      </c>
    </row>
    <row r="11" spans="1:5" x14ac:dyDescent="0.25">
      <c r="A11" t="s">
        <v>37</v>
      </c>
      <c r="B11">
        <v>15</v>
      </c>
      <c r="C11" t="s">
        <v>11</v>
      </c>
      <c r="D11">
        <v>4.5720000000000001</v>
      </c>
      <c r="E11" t="s">
        <v>10</v>
      </c>
    </row>
    <row r="13" spans="1:5" x14ac:dyDescent="0.25">
      <c r="A13" t="s">
        <v>4</v>
      </c>
      <c r="B13">
        <v>61</v>
      </c>
      <c r="C13" t="s">
        <v>12</v>
      </c>
      <c r="D13">
        <v>9580</v>
      </c>
      <c r="E13" t="s">
        <v>13</v>
      </c>
    </row>
    <row r="14" spans="1:5" x14ac:dyDescent="0.25">
      <c r="A14" t="s">
        <v>5</v>
      </c>
      <c r="B14">
        <f>4.38*10^-6</f>
        <v>4.3799999999999996E-6</v>
      </c>
      <c r="C14" t="s">
        <v>14</v>
      </c>
      <c r="D14">
        <f>4.05*10^-7</f>
        <v>4.0499999999999999E-7</v>
      </c>
      <c r="E14" t="s">
        <v>15</v>
      </c>
    </row>
    <row r="15" spans="1:5" x14ac:dyDescent="0.25">
      <c r="A15" t="s">
        <v>17</v>
      </c>
      <c r="B15">
        <v>275</v>
      </c>
      <c r="C15" t="s">
        <v>18</v>
      </c>
      <c r="D15">
        <v>1.7299999999999999E-2</v>
      </c>
      <c r="E15" t="s">
        <v>19</v>
      </c>
    </row>
    <row r="17" spans="1:3" x14ac:dyDescent="0.25">
      <c r="A17" t="s">
        <v>6</v>
      </c>
      <c r="B17">
        <v>8</v>
      </c>
      <c r="C17" t="s">
        <v>25</v>
      </c>
    </row>
    <row r="18" spans="1:3" x14ac:dyDescent="0.25">
      <c r="A18" t="s">
        <v>23</v>
      </c>
      <c r="B18">
        <v>100</v>
      </c>
      <c r="C18" t="s">
        <v>25</v>
      </c>
    </row>
    <row r="19" spans="1:3" x14ac:dyDescent="0.25">
      <c r="A19" t="s">
        <v>24</v>
      </c>
      <c r="B19">
        <v>30</v>
      </c>
      <c r="C19" t="s">
        <v>25</v>
      </c>
    </row>
    <row r="20" spans="1:3" x14ac:dyDescent="0.25">
      <c r="A20" t="s">
        <v>26</v>
      </c>
      <c r="B20">
        <v>60</v>
      </c>
      <c r="C20" t="s">
        <v>25</v>
      </c>
    </row>
    <row r="22" spans="1:3" x14ac:dyDescent="0.25">
      <c r="A22" t="s">
        <v>27</v>
      </c>
      <c r="B22">
        <f>0.25/(LOG(1/3.7/(D3/B6)))^2</f>
        <v>1.6308183449032194E-2</v>
      </c>
    </row>
    <row r="23" spans="1:3" x14ac:dyDescent="0.25">
      <c r="A23" t="s">
        <v>28</v>
      </c>
      <c r="B23">
        <f>0.25/(LOG(1/3.7/(D4/B6)))^2</f>
        <v>1.7340558487893488E-2</v>
      </c>
    </row>
    <row r="24" spans="1:3" x14ac:dyDescent="0.25">
      <c r="A24" t="s">
        <v>29</v>
      </c>
      <c r="B24">
        <f>0.25/(LOG(1/3.7/(D5/B6)))^2</f>
        <v>2.2540660384312808E-2</v>
      </c>
    </row>
    <row r="25" spans="1:3" x14ac:dyDescent="0.25">
      <c r="A25" t="s">
        <v>32</v>
      </c>
      <c r="B25">
        <f>B22+B23</f>
        <v>3.3648741936925686E-2</v>
      </c>
    </row>
    <row r="27" spans="1:3" x14ac:dyDescent="0.25">
      <c r="A27" t="s">
        <v>21</v>
      </c>
      <c r="B27">
        <f>B17*B22</f>
        <v>0.13046546759225755</v>
      </c>
    </row>
    <row r="28" spans="1:3" x14ac:dyDescent="0.25">
      <c r="A28" t="s">
        <v>22</v>
      </c>
      <c r="B28">
        <f>B17*B23</f>
        <v>0.13872446790314791</v>
      </c>
    </row>
    <row r="29" spans="1:3" x14ac:dyDescent="0.25">
      <c r="A29" t="s">
        <v>38</v>
      </c>
      <c r="B29">
        <f>B17*B24</f>
        <v>0.18032528307450246</v>
      </c>
    </row>
    <row r="30" spans="1:3" x14ac:dyDescent="0.25">
      <c r="A30" t="s">
        <v>33</v>
      </c>
      <c r="B30">
        <f>B18*B22</f>
        <v>1.6308183449032194</v>
      </c>
    </row>
    <row r="31" spans="1:3" x14ac:dyDescent="0.25">
      <c r="A31" t="s">
        <v>7</v>
      </c>
      <c r="B31">
        <f>B20*B23</f>
        <v>1.0404335092736092</v>
      </c>
    </row>
    <row r="32" spans="1:3" x14ac:dyDescent="0.25">
      <c r="A32" t="s">
        <v>34</v>
      </c>
      <c r="B32">
        <f>B19*B23</f>
        <v>0.52021675463680461</v>
      </c>
    </row>
    <row r="33" spans="1:19" x14ac:dyDescent="0.25">
      <c r="A33" t="s">
        <v>35</v>
      </c>
      <c r="B33">
        <f>B19*B24</f>
        <v>0.67621981152938426</v>
      </c>
    </row>
    <row r="35" spans="1:19" x14ac:dyDescent="0.25">
      <c r="A35" t="s">
        <v>20</v>
      </c>
      <c r="B35">
        <f>SUM(B27:B33)</f>
        <v>4.3172036389129254</v>
      </c>
    </row>
    <row r="37" spans="1:19" x14ac:dyDescent="0.25">
      <c r="C37" t="s">
        <v>57</v>
      </c>
      <c r="M37" s="5"/>
      <c r="N37" s="5"/>
      <c r="Q37" s="6"/>
      <c r="R37" s="6"/>
      <c r="S37" s="6"/>
    </row>
    <row r="38" spans="1:19" x14ac:dyDescent="0.25">
      <c r="F38" t="s">
        <v>42</v>
      </c>
      <c r="P38" t="s">
        <v>43</v>
      </c>
    </row>
    <row r="39" spans="1:19" x14ac:dyDescent="0.25">
      <c r="B39" t="s">
        <v>71</v>
      </c>
      <c r="C39" s="2" t="s">
        <v>44</v>
      </c>
      <c r="D39" s="3" t="s">
        <v>45</v>
      </c>
      <c r="E39" s="3" t="s">
        <v>52</v>
      </c>
      <c r="F39" s="3" t="s">
        <v>46</v>
      </c>
      <c r="G39" s="3" t="s">
        <v>53</v>
      </c>
      <c r="H39" s="3" t="s">
        <v>54</v>
      </c>
      <c r="I39" s="3" t="s">
        <v>47</v>
      </c>
      <c r="J39" s="3" t="s">
        <v>48</v>
      </c>
      <c r="K39" s="3" t="s">
        <v>49</v>
      </c>
      <c r="L39" s="3" t="s">
        <v>55</v>
      </c>
      <c r="M39" s="3" t="s">
        <v>50</v>
      </c>
      <c r="N39" s="3" t="s">
        <v>51</v>
      </c>
      <c r="O39" s="4" t="s">
        <v>56</v>
      </c>
      <c r="P39" t="s">
        <v>61</v>
      </c>
      <c r="Q39" t="s">
        <v>44</v>
      </c>
      <c r="R39" t="s">
        <v>45</v>
      </c>
      <c r="S39" t="s">
        <v>52</v>
      </c>
    </row>
    <row r="40" spans="1:19" x14ac:dyDescent="0.25">
      <c r="B40">
        <v>1</v>
      </c>
      <c r="C40">
        <v>1E-3</v>
      </c>
      <c r="D40">
        <v>1E-3</v>
      </c>
      <c r="E40">
        <v>1E-3</v>
      </c>
      <c r="F40">
        <v>2E-3</v>
      </c>
      <c r="G40">
        <f>SQRT((3.63*10^-5*((25.75)-(F40^2)/(3.63*10^-4)*C40*(29.79)*D40*(156.51)+5.28))/8*(13.04+D40*(31.3)))</f>
        <v>4.2900093470289107E-2</v>
      </c>
      <c r="H40">
        <f>SQRT((4.94*10^-6*((25.75)-(F40^2)/(3.63*10^-4)*$C$40*(29.79)*D40*(156.51)+5.28))/8*(1.22+E40*(343.76)))</f>
        <v>5.473864708189855E-3</v>
      </c>
      <c r="I40">
        <f>H40+G40</f>
        <v>4.8373958178478962E-2</v>
      </c>
      <c r="J40" s="7">
        <f>4*G40/PI()/$D$3/$B$14</f>
        <v>121904.18430707167</v>
      </c>
      <c r="K40" s="7">
        <f>4*H40/PI()/$D$4/$B$14</f>
        <v>20426.43656542906</v>
      </c>
      <c r="L40">
        <f>4*H40/PI()/$D$5/$B$14</f>
        <v>59820.278513042242</v>
      </c>
      <c r="M40">
        <f>0.25/(LOG(1/3.7/($D$3/$B$6)+5.74/J40^0.9))^2</f>
        <v>1.9690740690590319E-2</v>
      </c>
      <c r="N40">
        <f>0.25/(LOG(1/3.7/($D$4/$B$6)+5.74/K40^0.9))^2</f>
        <v>2.7099855526240234E-2</v>
      </c>
      <c r="O40">
        <f>0.25/(LOG(1/3.7/($D$4/$B$6)+5.74/L40^0.9))^2</f>
        <v>2.2291499118596743E-2</v>
      </c>
      <c r="P40" s="6">
        <f t="shared" ref="P40:P45" si="0">(I40-F40)/F40</f>
        <v>23.186979089239479</v>
      </c>
      <c r="Q40" s="6">
        <f>(M40-C40)/M40</f>
        <v>0.94921470879569936</v>
      </c>
      <c r="R40" s="6">
        <f t="shared" ref="R40:S45" si="1">(N40-D40)/N40</f>
        <v>0.96309943427441069</v>
      </c>
      <c r="S40" s="6">
        <f t="shared" si="1"/>
        <v>0.95513984973914345</v>
      </c>
    </row>
    <row r="41" spans="1:19" x14ac:dyDescent="0.25">
      <c r="B41">
        <f>B40+1</f>
        <v>2</v>
      </c>
      <c r="C41">
        <v>2E-3</v>
      </c>
      <c r="D41">
        <v>1.7999999999999999E-2</v>
      </c>
      <c r="E41">
        <v>1.7999999999999999E-2</v>
      </c>
      <c r="F41">
        <v>8.0000000000000002E-3</v>
      </c>
      <c r="G41">
        <f>SQRT((3.63*10^-5*((25.75)-(F41^2)/(3.63*10^-4)*C41*(29.79)*D41*(156.51)+5.28))/8*(13.04+D41*(31.3)))</f>
        <v>4.3743723859101184E-2</v>
      </c>
      <c r="H41">
        <f>SQRT((4.94*10^-6*((25.75)-($F$40^2)/(3.63*10^-4)*C41*(29.79)*D41*(156.51)+5.28))/8*(1.22+E41*(343.76)))</f>
        <v>1.1913449598479058E-2</v>
      </c>
      <c r="I41">
        <f t="shared" ref="I41:I43" si="2">H41+G41</f>
        <v>5.5657173457580242E-2</v>
      </c>
      <c r="J41" s="7">
        <f t="shared" ref="J41:J43" si="3">4*G41/PI()/$D$3/$B$14</f>
        <v>124301.43023559207</v>
      </c>
      <c r="K41" s="7">
        <f t="shared" ref="K41:K43" si="4">4*H41/PI()/$D$4/$B$14</f>
        <v>44456.583323054336</v>
      </c>
      <c r="L41">
        <f t="shared" ref="L41:L43" si="5">4*H41/PI()/$D$5/$B$14</f>
        <v>130194.27973180199</v>
      </c>
      <c r="M41">
        <f t="shared" ref="M41:M43" si="6">0.25/(LOG(1/3.7/($D$3/$B$6)+5.74/J41^0.9))^2</f>
        <v>1.9644272285383714E-2</v>
      </c>
      <c r="N41">
        <f t="shared" ref="N41:N43" si="7">0.25/(LOG(1/3.7/($D$4/$B$6)+5.74/K41^0.9))^2</f>
        <v>2.3369202787790075E-2</v>
      </c>
      <c r="O41">
        <f t="shared" ref="O41:O43" si="8">0.25/(LOG(1/3.7/($D$4/$B$6)+5.74/L41^0.9))^2</f>
        <v>2.0189193618116105E-2</v>
      </c>
      <c r="P41" s="6">
        <f t="shared" si="0"/>
        <v>5.9571466821975303</v>
      </c>
      <c r="Q41" s="6">
        <f t="shared" ref="Q41:Q45" si="9">(M41-C41)/M41</f>
        <v>0.89818915300374358</v>
      </c>
      <c r="R41" s="6">
        <f t="shared" si="1"/>
        <v>0.22975549643462265</v>
      </c>
      <c r="S41" s="6">
        <f t="shared" si="1"/>
        <v>0.10843393052368895</v>
      </c>
    </row>
    <row r="42" spans="1:19" x14ac:dyDescent="0.25">
      <c r="B42">
        <f t="shared" ref="B42:B45" si="10">B41+1</f>
        <v>3</v>
      </c>
      <c r="C42">
        <v>2.4E-2</v>
      </c>
      <c r="D42">
        <v>2.4E-2</v>
      </c>
      <c r="E42">
        <v>2.4E-2</v>
      </c>
      <c r="F42">
        <v>1.2E-2</v>
      </c>
      <c r="G42">
        <f t="shared" ref="G42:G43" si="11">SQRT((3.63*10^-5*((25.75)-(F42^2)/(3.63*10^-4)*C42*(29.79)*D42*(156.51)+5.28))/8*(13.04+D42*(31.3)))</f>
        <v>4.3302600296608686E-2</v>
      </c>
      <c r="H42">
        <f t="shared" ref="H42:H43" si="12">SQRT((4.94*10^-6*((25.75)-($F$40^2)/(3.63*10^-4)*C42*(29.79)*D42*(156.51)+5.28))/8*(1.22+E42*(343.76)))</f>
        <v>1.3464265650359864E-2</v>
      </c>
      <c r="I42">
        <f t="shared" si="2"/>
        <v>5.6766865946968552E-2</v>
      </c>
      <c r="J42" s="7">
        <f t="shared" si="3"/>
        <v>123047.94093721744</v>
      </c>
      <c r="K42" s="7">
        <f t="shared" si="4"/>
        <v>50243.654688007358</v>
      </c>
      <c r="L42">
        <f t="shared" si="5"/>
        <v>147142.13158630725</v>
      </c>
      <c r="M42">
        <f t="shared" si="6"/>
        <v>1.966839115916276E-2</v>
      </c>
      <c r="N42">
        <f t="shared" si="7"/>
        <v>2.290422541117133E-2</v>
      </c>
      <c r="O42">
        <f t="shared" si="8"/>
        <v>1.9939538540000377E-2</v>
      </c>
      <c r="P42" s="6">
        <f t="shared" si="0"/>
        <v>3.7305721622473791</v>
      </c>
      <c r="Q42" s="6">
        <f t="shared" si="9"/>
        <v>-0.22023198571680369</v>
      </c>
      <c r="R42" s="6">
        <f t="shared" si="1"/>
        <v>-4.7841591198024815E-2</v>
      </c>
      <c r="S42" s="6">
        <f t="shared" si="1"/>
        <v>-0.20363868761827153</v>
      </c>
    </row>
    <row r="43" spans="1:19" x14ac:dyDescent="0.25">
      <c r="B43">
        <f t="shared" si="10"/>
        <v>4</v>
      </c>
      <c r="C43">
        <v>0.03</v>
      </c>
      <c r="D43">
        <v>0.03</v>
      </c>
      <c r="E43">
        <v>0.03</v>
      </c>
      <c r="F43">
        <v>0.03</v>
      </c>
      <c r="G43">
        <f t="shared" si="11"/>
        <v>3.6170643692024093E-2</v>
      </c>
      <c r="H43">
        <f t="shared" si="12"/>
        <v>1.4854325224266952E-2</v>
      </c>
      <c r="I43">
        <f t="shared" si="2"/>
        <v>5.1024968916291047E-2</v>
      </c>
      <c r="J43" s="7">
        <f t="shared" si="3"/>
        <v>102781.89296234673</v>
      </c>
      <c r="K43" s="7">
        <f t="shared" si="4"/>
        <v>55430.842392171508</v>
      </c>
      <c r="L43">
        <f t="shared" si="5"/>
        <v>162333.18129135942</v>
      </c>
      <c r="M43">
        <f t="shared" si="6"/>
        <v>2.0121007456795476E-2</v>
      </c>
      <c r="N43">
        <f t="shared" si="7"/>
        <v>2.2552091400262153E-2</v>
      </c>
      <c r="O43">
        <f t="shared" si="8"/>
        <v>1.9752885446141396E-2</v>
      </c>
      <c r="P43" s="6">
        <f t="shared" si="0"/>
        <v>0.70083229720970164</v>
      </c>
      <c r="Q43" s="6">
        <f t="shared" si="9"/>
        <v>-0.49097902102650859</v>
      </c>
      <c r="R43" s="6">
        <f t="shared" si="1"/>
        <v>-0.33025356573587089</v>
      </c>
      <c r="S43" s="6">
        <f t="shared" si="1"/>
        <v>-0.51876545235877491</v>
      </c>
    </row>
    <row r="44" spans="1:19" x14ac:dyDescent="0.25">
      <c r="B44">
        <f t="shared" si="10"/>
        <v>5</v>
      </c>
      <c r="C44">
        <v>0.04</v>
      </c>
      <c r="D44">
        <v>0.04</v>
      </c>
      <c r="E44">
        <v>0.04</v>
      </c>
      <c r="F44">
        <v>3.3000000000000002E-2</v>
      </c>
      <c r="G44">
        <f t="shared" ref="G44:G45" si="13">SQRT((3.63*10^-5*((25.75)-(F44^2)/(3.63*10^-4)*C44*(29.79)*D44*(156.51)+5.28))/8*(13.04+D44*(31.3)))</f>
        <v>2.3684867624115945E-2</v>
      </c>
      <c r="H44">
        <f t="shared" ref="H44:H45" si="14">SQRT((4.94*10^-6*((25.75)-($F$40^2)/(3.63*10^-4)*C44*(29.79)*D44*(156.51)+5.28))/8*(1.22+E44*(343.76)))</f>
        <v>1.691414523099373E-2</v>
      </c>
      <c r="I44">
        <f t="shared" ref="I44:I45" si="15">H44+G44</f>
        <v>4.0599012855109674E-2</v>
      </c>
      <c r="J44" s="7">
        <f t="shared" ref="J44:J45" si="16">4*G44/PI()/$D$3/$B$14</f>
        <v>67302.521616612401</v>
      </c>
      <c r="K44" s="7">
        <f t="shared" ref="K44:K45" si="17">4*H44/PI()/$D$4/$B$14</f>
        <v>63117.328073970501</v>
      </c>
      <c r="L44">
        <f t="shared" ref="L44:L45" si="18">4*H44/PI()/$D$5/$B$14</f>
        <v>184843.6036451993</v>
      </c>
      <c r="M44">
        <f t="shared" ref="M44:M45" si="19">0.25/(LOG(1/3.7/($D$3/$B$6)+5.74/J44^0.9))^2</f>
        <v>2.1382216032832378E-2</v>
      </c>
      <c r="N44">
        <f t="shared" ref="N44:N45" si="20">0.25/(LOG(1/3.7/($D$4/$B$6)+5.74/K44^0.9))^2</f>
        <v>2.2114431863274241E-2</v>
      </c>
      <c r="O44">
        <f t="shared" ref="O44:O45" si="21">0.25/(LOG(1/3.7/($D$4/$B$6)+5.74/L44^0.9))^2</f>
        <v>1.9524031219455371E-2</v>
      </c>
      <c r="P44" s="6">
        <f t="shared" si="0"/>
        <v>0.23027311682150522</v>
      </c>
      <c r="Q44" s="6">
        <f t="shared" si="9"/>
        <v>-0.87071349099550899</v>
      </c>
      <c r="R44" s="6">
        <f t="shared" si="1"/>
        <v>-0.8087735758850122</v>
      </c>
      <c r="S44" s="6">
        <f t="shared" si="1"/>
        <v>-1.0487572238739646</v>
      </c>
    </row>
    <row r="45" spans="1:19" x14ac:dyDescent="0.25">
      <c r="B45">
        <f t="shared" si="10"/>
        <v>6</v>
      </c>
      <c r="C45">
        <v>4.1000000000000002E-2</v>
      </c>
      <c r="D45">
        <v>4.3999999999999997E-2</v>
      </c>
      <c r="E45">
        <v>4.3999999999999997E-2</v>
      </c>
      <c r="F45">
        <v>3.4000000000000002E-2</v>
      </c>
      <c r="G45">
        <f t="shared" si="13"/>
        <v>1.6663269636102072E-2</v>
      </c>
      <c r="H45">
        <f t="shared" si="14"/>
        <v>1.7670877202482508E-2</v>
      </c>
      <c r="I45">
        <f t="shared" si="15"/>
        <v>3.433414683858458E-2</v>
      </c>
      <c r="J45" s="7">
        <f t="shared" si="16"/>
        <v>47350.066831081167</v>
      </c>
      <c r="K45" s="7">
        <f t="shared" si="17"/>
        <v>65941.171635452891</v>
      </c>
      <c r="L45">
        <f t="shared" si="18"/>
        <v>193113.43121811206</v>
      </c>
      <c r="M45">
        <f t="shared" si="19"/>
        <v>2.2664103660670284E-2</v>
      </c>
      <c r="N45">
        <f t="shared" si="20"/>
        <v>2.1973809275675132E-2</v>
      </c>
      <c r="O45">
        <f t="shared" si="21"/>
        <v>1.9451278431772089E-2</v>
      </c>
      <c r="P45" s="6">
        <f t="shared" si="0"/>
        <v>9.8278481936640346E-3</v>
      </c>
      <c r="Q45" s="6">
        <f t="shared" si="9"/>
        <v>-0.80902808308049534</v>
      </c>
      <c r="R45" s="6">
        <f t="shared" si="1"/>
        <v>-1.002383812837937</v>
      </c>
      <c r="S45" s="6">
        <f t="shared" si="1"/>
        <v>-1.2620621135179249</v>
      </c>
    </row>
    <row r="46" spans="1:19" x14ac:dyDescent="0.25">
      <c r="J46" s="7"/>
      <c r="K46" s="7"/>
      <c r="P46" s="6"/>
      <c r="Q46" s="6"/>
      <c r="R46" s="6"/>
      <c r="S46" s="6"/>
    </row>
    <row r="47" spans="1:19" x14ac:dyDescent="0.25">
      <c r="A47" t="s">
        <v>66</v>
      </c>
      <c r="B47">
        <v>8</v>
      </c>
    </row>
    <row r="48" spans="1:19" x14ac:dyDescent="0.25">
      <c r="A48" t="s">
        <v>67</v>
      </c>
      <c r="B48">
        <v>900</v>
      </c>
    </row>
    <row r="49" spans="1:2" x14ac:dyDescent="0.25">
      <c r="A49" t="s">
        <v>68</v>
      </c>
      <c r="B49">
        <v>160</v>
      </c>
    </row>
    <row r="50" spans="1:2" x14ac:dyDescent="0.25">
      <c r="A50" t="s">
        <v>69</v>
      </c>
      <c r="B50">
        <v>35</v>
      </c>
    </row>
    <row r="52" spans="1:2" x14ac:dyDescent="0.25">
      <c r="A52" t="s">
        <v>62</v>
      </c>
      <c r="B52">
        <f>$B$47*$B$24</f>
        <v>0.18032528307450246</v>
      </c>
    </row>
    <row r="53" spans="1:2" x14ac:dyDescent="0.25">
      <c r="A53" t="s">
        <v>63</v>
      </c>
      <c r="B53">
        <f>$B$48*$B$24</f>
        <v>20.286594345881529</v>
      </c>
    </row>
    <row r="54" spans="1:2" x14ac:dyDescent="0.25">
      <c r="A54" t="s">
        <v>64</v>
      </c>
      <c r="B54">
        <f>$B$49*$B$24</f>
        <v>3.6065056614900493</v>
      </c>
    </row>
    <row r="55" spans="1:2" x14ac:dyDescent="0.25">
      <c r="A55" t="s">
        <v>65</v>
      </c>
      <c r="B55">
        <f>$B$50*$B$24</f>
        <v>0.78892311345094823</v>
      </c>
    </row>
    <row r="57" spans="1:2" x14ac:dyDescent="0.25">
      <c r="A57" s="1" t="s">
        <v>16</v>
      </c>
      <c r="B57" t="s">
        <v>46</v>
      </c>
    </row>
    <row r="58" spans="1:2" x14ac:dyDescent="0.25">
      <c r="A58" t="s">
        <v>58</v>
      </c>
      <c r="B58">
        <f>(SQRT((3.63*10^-5*((25.75)-($F$45^2)/(3.63*10^-4)*$C$45*(29.79)*$D$45*(156.51)+5.28))/8*(13.04+$D$45*(31.3))))+(SQRT((4.94*10^-6*((25.75)-($F$40^2)/(3.63*10^-4)*$C$45*(29.79)*$D$45*(156.51)+5.28))/8*(1.04+$B$52+$E$45*(343.76))))</f>
        <v>3.4334322667704767E-2</v>
      </c>
    </row>
    <row r="59" spans="1:2" x14ac:dyDescent="0.25">
      <c r="A59" t="s">
        <v>59</v>
      </c>
      <c r="B59">
        <f>(SQRT((3.63*10^-5*((25.75)-($F$45^2)/(3.63*10^-4)*$C$45*(29.79)*$D$45*(156.51)+5.28))/8*(13.04+$D$45*(31.3))))+(SQRT((4.94*10^-6*((25.75)-($F$40^2)/(3.63*10^-4)*$C$45*(29.79)*$D$45*(156.51)+5.28))/8*(1.04+$B$53+$E$45*(343.76))))</f>
        <v>4.3052133120740466E-2</v>
      </c>
    </row>
    <row r="60" spans="1:2" x14ac:dyDescent="0.25">
      <c r="A60" t="s">
        <v>60</v>
      </c>
      <c r="B60">
        <f>(SQRT((3.63*10^-5*((25.75)-($F$45^2)/(3.63*10^-4)*$C$45*(29.79)*$D$45*(156.51)+5.28))/8*(13.04+$D$45*(31.3))))+(SQRT((4.94*10^-6*((25.75)-($F$40^2)/(3.63*10^-4)*$C$45*(29.79)*$D$45*(156.51)+5.28))/8*(1.04+$B$54+$E$45*(343.76))))</f>
        <v>3.6098267854132511E-2</v>
      </c>
    </row>
    <row r="61" spans="1:2" x14ac:dyDescent="0.25">
      <c r="A61" t="s">
        <v>70</v>
      </c>
      <c r="B61">
        <f>(SQRT((3.63*10^-5*((25.75)-($F$45^2)/(3.63*10^-4)*$C$45*(29.79)*$D$45*(156.51)+5.28))/8*(13.04+$D$45*(31.3))))+(SQRT((4.94*10^-6*((25.75)-($F$40^2)/(3.63*10^-4)*$C$45*(29.79)*$D$45*(156.51)+5.28))/8*(1.04+$B$55+$E$45*(343.76))))</f>
        <v>3.4660287227211588E-2</v>
      </c>
    </row>
  </sheetData>
  <phoneticPr fontId="3" type="noConversion"/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Michael</dc:creator>
  <cp:lastModifiedBy>Cameron Michael</cp:lastModifiedBy>
  <cp:lastPrinted>2023-11-22T00:15:47Z</cp:lastPrinted>
  <dcterms:created xsi:type="dcterms:W3CDTF">2023-11-18T18:15:47Z</dcterms:created>
  <dcterms:modified xsi:type="dcterms:W3CDTF">2023-11-22T00:18:56Z</dcterms:modified>
</cp:coreProperties>
</file>